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110" windowWidth="20520" windowHeight="4050" activeTab="1"/>
  </bookViews>
  <sheets>
    <sheet name="Club Namen" sheetId="16" r:id="rId1"/>
    <sheet name="Gruppenphase" sheetId="1" r:id="rId2"/>
    <sheet name="Achtelfinale - Finale" sheetId="15" r:id="rId3"/>
    <sheet name="Dummy Table" sheetId="2" state="hidden" r:id="rId4"/>
  </sheets>
  <definedNames>
    <definedName name="_xlnm.Print_Area" localSheetId="2">'Achtelfinale - Finale'!$B$7:$AF$185</definedName>
    <definedName name="_xlnm.Print_Area" localSheetId="1">Gruppenphase!$B$7:$AA$110</definedName>
    <definedName name="Team">'Club Namen'!$B$3:$B$34</definedName>
  </definedNames>
  <calcPr calcId="144525"/>
</workbook>
</file>

<file path=xl/calcChain.xml><?xml version="1.0" encoding="utf-8"?>
<calcChain xmlns="http://schemas.openxmlformats.org/spreadsheetml/2006/main">
  <c r="AC168" i="15" l="1"/>
  <c r="AC167" i="15"/>
  <c r="AC166" i="15"/>
  <c r="AC158" i="15"/>
  <c r="AC157" i="15"/>
  <c r="AC156" i="15"/>
  <c r="D168" i="15"/>
  <c r="D167" i="15"/>
  <c r="D166" i="15"/>
  <c r="D158" i="15"/>
  <c r="D157" i="15"/>
  <c r="D156" i="15"/>
  <c r="AC146" i="15"/>
  <c r="AC145" i="15"/>
  <c r="AC144" i="15"/>
  <c r="AC136" i="15"/>
  <c r="AC135" i="15"/>
  <c r="AC134" i="15"/>
  <c r="D146" i="15"/>
  <c r="D145" i="15"/>
  <c r="D144" i="15"/>
  <c r="D136" i="15"/>
  <c r="D135" i="15"/>
  <c r="D134" i="15"/>
  <c r="AC126" i="15"/>
  <c r="AC125" i="15"/>
  <c r="AC124" i="15"/>
  <c r="D126" i="15"/>
  <c r="D125" i="15"/>
  <c r="D124" i="15"/>
  <c r="AC116" i="15"/>
  <c r="AC115" i="15"/>
  <c r="AC114" i="15"/>
  <c r="D116" i="15"/>
  <c r="D115" i="15"/>
  <c r="D114" i="15"/>
  <c r="AC86" i="15"/>
  <c r="AC85" i="15"/>
  <c r="AC84" i="15"/>
  <c r="AC76" i="15"/>
  <c r="AC75" i="15"/>
  <c r="AC74" i="15"/>
  <c r="AC66" i="15"/>
  <c r="AC65" i="15"/>
  <c r="AC64" i="15"/>
  <c r="AC56" i="15"/>
  <c r="AC55" i="15"/>
  <c r="AC54" i="15"/>
  <c r="AC46" i="15"/>
  <c r="AC45" i="15"/>
  <c r="AC44" i="15"/>
  <c r="AC36" i="15"/>
  <c r="AC35" i="15"/>
  <c r="AC34" i="15"/>
  <c r="AC33" i="15"/>
  <c r="AC43" i="15" s="1"/>
  <c r="AC53" i="15" s="1"/>
  <c r="AC63" i="15" s="1"/>
  <c r="AC73" i="15" s="1"/>
  <c r="AC83" i="15" s="1"/>
  <c r="AC26" i="15"/>
  <c r="AC25" i="15"/>
  <c r="AC23" i="15"/>
  <c r="AC24" i="15"/>
  <c r="D86" i="15"/>
  <c r="D85" i="15"/>
  <c r="D84" i="15"/>
  <c r="D76" i="15"/>
  <c r="D75" i="15"/>
  <c r="D74" i="15"/>
  <c r="D66" i="15"/>
  <c r="D65" i="15"/>
  <c r="D64" i="15"/>
  <c r="D56" i="15"/>
  <c r="D55" i="15"/>
  <c r="D54" i="15"/>
  <c r="D46" i="15"/>
  <c r="D45" i="15"/>
  <c r="D44" i="15"/>
  <c r="D36" i="15"/>
  <c r="D35" i="15"/>
  <c r="D34" i="15"/>
  <c r="D26" i="15"/>
  <c r="D24" i="15"/>
  <c r="D25" i="15"/>
  <c r="D23" i="15"/>
  <c r="D33" i="15" s="1"/>
  <c r="D43" i="15" s="1"/>
  <c r="D53" i="15" s="1"/>
  <c r="D63" i="15" s="1"/>
  <c r="D73" i="15" s="1"/>
  <c r="D83" i="15" s="1"/>
  <c r="AC16" i="15"/>
  <c r="AC13" i="15"/>
  <c r="AC15" i="15"/>
  <c r="AC14" i="15"/>
  <c r="B8" i="2"/>
  <c r="C8" i="2"/>
  <c r="J8" i="2"/>
  <c r="B9" i="2"/>
  <c r="C9" i="2"/>
  <c r="J9" i="2"/>
  <c r="B10" i="2"/>
  <c r="C10" i="2"/>
  <c r="J10" i="2"/>
  <c r="B11" i="2"/>
  <c r="C11" i="2"/>
  <c r="Q11" i="2" s="1"/>
  <c r="J11" i="2"/>
  <c r="B20" i="2"/>
  <c r="C20" i="2"/>
  <c r="J20" i="2"/>
  <c r="Q20" i="2" s="1"/>
  <c r="B21" i="2"/>
  <c r="C21" i="2"/>
  <c r="J21" i="2"/>
  <c r="B22" i="2"/>
  <c r="C22" i="2"/>
  <c r="J22" i="2"/>
  <c r="B23" i="2"/>
  <c r="C23" i="2"/>
  <c r="J23" i="2"/>
  <c r="B16" i="2"/>
  <c r="C16" i="2"/>
  <c r="D16" i="2"/>
  <c r="J16" i="2"/>
  <c r="B17" i="2"/>
  <c r="D17" i="2"/>
  <c r="B18" i="2"/>
  <c r="D18" i="2"/>
  <c r="B19" i="2"/>
  <c r="D19" i="2"/>
  <c r="B4" i="2"/>
  <c r="F4" i="2" s="1"/>
  <c r="J4" i="2"/>
  <c r="B5" i="2"/>
  <c r="C5" i="2"/>
  <c r="D5" i="2"/>
  <c r="J5" i="2"/>
  <c r="B6" i="2"/>
  <c r="N6" i="2"/>
  <c r="B7" i="2"/>
  <c r="C7" i="2"/>
  <c r="D7" i="2"/>
  <c r="K7" i="2"/>
  <c r="B24" i="2"/>
  <c r="C24" i="2"/>
  <c r="B25" i="2"/>
  <c r="C25" i="2"/>
  <c r="J25" i="2"/>
  <c r="B26" i="2"/>
  <c r="C26" i="2"/>
  <c r="J26" i="2"/>
  <c r="B27" i="2"/>
  <c r="C27" i="2"/>
  <c r="J27" i="2"/>
  <c r="B32" i="2"/>
  <c r="D32" i="2"/>
  <c r="R32" i="2" s="1"/>
  <c r="C32" i="2"/>
  <c r="J32" i="2"/>
  <c r="K32" i="2"/>
  <c r="B33" i="2"/>
  <c r="D33" i="2"/>
  <c r="C33" i="2"/>
  <c r="B34" i="2"/>
  <c r="D34" i="2"/>
  <c r="C34" i="2"/>
  <c r="J34" i="2"/>
  <c r="K34" i="2"/>
  <c r="B35" i="2"/>
  <c r="D35" i="2"/>
  <c r="C35" i="2"/>
  <c r="Q35" i="2" s="1"/>
  <c r="J35" i="2"/>
  <c r="K35" i="2"/>
  <c r="B28" i="2"/>
  <c r="D28" i="2"/>
  <c r="R28" i="2" s="1"/>
  <c r="J28" i="2"/>
  <c r="B29" i="2"/>
  <c r="D29" i="2"/>
  <c r="J29" i="2"/>
  <c r="P29" i="2" s="1"/>
  <c r="B30" i="2"/>
  <c r="D30" i="2"/>
  <c r="J30" i="2"/>
  <c r="B31" i="2"/>
  <c r="D31" i="2"/>
  <c r="J31" i="2"/>
  <c r="B12" i="2"/>
  <c r="C12" i="2"/>
  <c r="D12" i="2"/>
  <c r="K12" i="2"/>
  <c r="B13" i="2"/>
  <c r="D13" i="2"/>
  <c r="C13" i="2"/>
  <c r="J13" i="2"/>
  <c r="K13" i="2"/>
  <c r="B14" i="2"/>
  <c r="C14" i="2"/>
  <c r="D14" i="2"/>
  <c r="J14" i="2"/>
  <c r="K14" i="2"/>
  <c r="B15" i="2"/>
  <c r="C15" i="2"/>
  <c r="R176" i="15"/>
  <c r="P176" i="15"/>
  <c r="R169" i="15"/>
  <c r="R168" i="15"/>
  <c r="P169" i="15"/>
  <c r="P159" i="15"/>
  <c r="R159" i="15"/>
  <c r="R158" i="15"/>
  <c r="R147" i="15"/>
  <c r="P147" i="15"/>
  <c r="P146" i="15"/>
  <c r="P137" i="15"/>
  <c r="R137" i="15"/>
  <c r="R136" i="15"/>
  <c r="R127" i="15"/>
  <c r="R126" i="15"/>
  <c r="P127" i="15"/>
  <c r="P126" i="15"/>
  <c r="P117" i="15"/>
  <c r="P116" i="15"/>
  <c r="R117" i="15"/>
  <c r="R116" i="15"/>
  <c r="P87" i="15"/>
  <c r="P86" i="15"/>
  <c r="R87" i="15"/>
  <c r="R86" i="15"/>
  <c r="R77" i="15"/>
  <c r="R76" i="15"/>
  <c r="P77" i="15"/>
  <c r="R67" i="15"/>
  <c r="P67" i="15"/>
  <c r="P57" i="15"/>
  <c r="R56" i="15"/>
  <c r="R57" i="15"/>
  <c r="P47" i="15"/>
  <c r="P46" i="15"/>
  <c r="R47" i="15"/>
  <c r="R46" i="15"/>
  <c r="P37" i="15"/>
  <c r="R37" i="15"/>
  <c r="R36" i="15"/>
  <c r="P27" i="15"/>
  <c r="R27" i="15"/>
  <c r="P26" i="15"/>
  <c r="R17" i="15"/>
  <c r="R16" i="15"/>
  <c r="P15" i="15"/>
  <c r="P17" i="15"/>
  <c r="Z143" i="15"/>
  <c r="AE147" i="15"/>
  <c r="Z133" i="15"/>
  <c r="T136" i="15"/>
  <c r="Z123" i="15"/>
  <c r="T126" i="15"/>
  <c r="H123" i="15"/>
  <c r="T123" i="15"/>
  <c r="N126" i="15"/>
  <c r="H113" i="15"/>
  <c r="T113" i="15"/>
  <c r="N116" i="15"/>
  <c r="Z113" i="15"/>
  <c r="AE117" i="15"/>
  <c r="M168" i="15"/>
  <c r="AC165" i="15"/>
  <c r="M158" i="15"/>
  <c r="AC155" i="15"/>
  <c r="H143" i="15"/>
  <c r="F146" i="15"/>
  <c r="H133" i="15"/>
  <c r="N136" i="15"/>
  <c r="N146" i="15"/>
  <c r="M146" i="15"/>
  <c r="AC143" i="15"/>
  <c r="T143" i="15"/>
  <c r="N143" i="15"/>
  <c r="M136" i="15"/>
  <c r="AC133" i="15"/>
  <c r="F127" i="15"/>
  <c r="M126" i="15"/>
  <c r="AC123" i="15"/>
  <c r="AC113" i="15"/>
  <c r="M116" i="15"/>
  <c r="AE83" i="15"/>
  <c r="M86" i="15"/>
  <c r="AE73" i="15"/>
  <c r="M76" i="15"/>
  <c r="AE63" i="15"/>
  <c r="M66" i="15"/>
  <c r="AE53" i="15"/>
  <c r="M56" i="15"/>
  <c r="AE43" i="15"/>
  <c r="M46" i="15"/>
  <c r="AE33" i="15"/>
  <c r="M36" i="15"/>
  <c r="AE23" i="15"/>
  <c r="M26" i="15"/>
  <c r="AE13" i="15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G35" i="2"/>
  <c r="G34" i="2"/>
  <c r="G33" i="2"/>
  <c r="G32" i="2"/>
  <c r="G31" i="2"/>
  <c r="G30" i="2"/>
  <c r="G29" i="2"/>
  <c r="G28" i="2"/>
  <c r="G27" i="2"/>
  <c r="G25" i="2"/>
  <c r="G23" i="2"/>
  <c r="G22" i="2"/>
  <c r="G21" i="2"/>
  <c r="G20" i="2"/>
  <c r="G18" i="2"/>
  <c r="G16" i="2"/>
  <c r="G14" i="2"/>
  <c r="G13" i="2"/>
  <c r="G11" i="2"/>
  <c r="G10" i="2"/>
  <c r="G9" i="2"/>
  <c r="G8" i="2"/>
  <c r="N4" i="2"/>
  <c r="F5" i="2"/>
  <c r="N5" i="2"/>
  <c r="M6" i="2"/>
  <c r="O6" i="2" s="1"/>
  <c r="F7" i="2"/>
  <c r="N7" i="2"/>
  <c r="L35" i="2"/>
  <c r="L34" i="2"/>
  <c r="L33" i="2"/>
  <c r="L32" i="2"/>
  <c r="L31" i="2"/>
  <c r="L30" i="2"/>
  <c r="L29" i="2"/>
  <c r="S29" i="2" s="1"/>
  <c r="L28" i="2"/>
  <c r="L27" i="2"/>
  <c r="L26" i="2"/>
  <c r="L25" i="2"/>
  <c r="L23" i="2"/>
  <c r="L22" i="2"/>
  <c r="L20" i="2"/>
  <c r="L18" i="2"/>
  <c r="L16" i="2"/>
  <c r="L14" i="2"/>
  <c r="L13" i="2"/>
  <c r="L11" i="2"/>
  <c r="L10" i="2"/>
  <c r="L9" i="2"/>
  <c r="L8" i="2"/>
  <c r="E35" i="2"/>
  <c r="E34" i="2"/>
  <c r="E32" i="2"/>
  <c r="S32" i="2" s="1"/>
  <c r="E31" i="2"/>
  <c r="E30" i="2"/>
  <c r="E29" i="2"/>
  <c r="E28" i="2"/>
  <c r="E27" i="2"/>
  <c r="E25" i="2"/>
  <c r="S25" i="2" s="1"/>
  <c r="E24" i="2"/>
  <c r="E23" i="2"/>
  <c r="E22" i="2"/>
  <c r="E20" i="2"/>
  <c r="E18" i="2"/>
  <c r="E16" i="2"/>
  <c r="S16" i="2" s="1"/>
  <c r="E15" i="2"/>
  <c r="E14" i="2"/>
  <c r="E13" i="2"/>
  <c r="E10" i="2"/>
  <c r="S10" i="2" s="1"/>
  <c r="E9" i="2"/>
  <c r="E8" i="2"/>
  <c r="E6" i="2"/>
  <c r="E4" i="2"/>
  <c r="D44" i="1"/>
  <c r="D60" i="1"/>
  <c r="D76" i="1"/>
  <c r="D92" i="1"/>
  <c r="D108" i="1"/>
  <c r="D43" i="1"/>
  <c r="D59" i="1"/>
  <c r="D75" i="1"/>
  <c r="D91" i="1"/>
  <c r="D107" i="1"/>
  <c r="D42" i="1"/>
  <c r="D58" i="1"/>
  <c r="D74" i="1"/>
  <c r="D90" i="1"/>
  <c r="D106" i="1"/>
  <c r="D41" i="1"/>
  <c r="D57" i="1"/>
  <c r="D73" i="1"/>
  <c r="D89" i="1"/>
  <c r="D105" i="1"/>
  <c r="D40" i="1"/>
  <c r="D56" i="1"/>
  <c r="D72" i="1"/>
  <c r="D88" i="1"/>
  <c r="D104" i="1"/>
  <c r="D39" i="1"/>
  <c r="D55" i="1"/>
  <c r="D71" i="1"/>
  <c r="D87" i="1"/>
  <c r="D103" i="1"/>
  <c r="D38" i="1"/>
  <c r="D54" i="1"/>
  <c r="D70" i="1"/>
  <c r="D86" i="1"/>
  <c r="D102" i="1"/>
  <c r="D37" i="1"/>
  <c r="D53" i="1"/>
  <c r="D69" i="1"/>
  <c r="D85" i="1"/>
  <c r="D101" i="1"/>
  <c r="D36" i="1"/>
  <c r="D52" i="1"/>
  <c r="D68" i="1"/>
  <c r="D84" i="1"/>
  <c r="D100" i="1"/>
  <c r="D35" i="1"/>
  <c r="D51" i="1"/>
  <c r="D67" i="1"/>
  <c r="D83" i="1"/>
  <c r="D99" i="1"/>
  <c r="D34" i="1"/>
  <c r="D50" i="1"/>
  <c r="D66" i="1"/>
  <c r="D82" i="1"/>
  <c r="D98" i="1"/>
  <c r="D33" i="1"/>
  <c r="D49" i="1"/>
  <c r="D65" i="1"/>
  <c r="D81" i="1"/>
  <c r="D97" i="1"/>
  <c r="D32" i="1"/>
  <c r="D48" i="1"/>
  <c r="D64" i="1"/>
  <c r="D80" i="1"/>
  <c r="D96" i="1"/>
  <c r="D31" i="1"/>
  <c r="D47" i="1"/>
  <c r="D63" i="1"/>
  <c r="D79" i="1"/>
  <c r="D95" i="1"/>
  <c r="D30" i="1"/>
  <c r="D46" i="1"/>
  <c r="D62" i="1"/>
  <c r="D78" i="1"/>
  <c r="D94" i="1"/>
  <c r="D29" i="1"/>
  <c r="D45" i="1"/>
  <c r="D61" i="1"/>
  <c r="D77" i="1"/>
  <c r="D93" i="1"/>
  <c r="M176" i="15"/>
  <c r="M16" i="15"/>
  <c r="BY32" i="2"/>
  <c r="CF32" i="2"/>
  <c r="CM32" i="2"/>
  <c r="BY33" i="2"/>
  <c r="CF33" i="2"/>
  <c r="CM33" i="2"/>
  <c r="CY33" i="2"/>
  <c r="CY32" i="2"/>
  <c r="CM28" i="2"/>
  <c r="CM29" i="2"/>
  <c r="CY29" i="2"/>
  <c r="CX29" i="2"/>
  <c r="CF29" i="2"/>
  <c r="BY29" i="2"/>
  <c r="CY28" i="2"/>
  <c r="CX28" i="2"/>
  <c r="CF28" i="2"/>
  <c r="BY28" i="2"/>
  <c r="CM24" i="2"/>
  <c r="CM25" i="2"/>
  <c r="CY25" i="2"/>
  <c r="CX25" i="2"/>
  <c r="CF25" i="2"/>
  <c r="BY25" i="2"/>
  <c r="CY24" i="2"/>
  <c r="CX24" i="2"/>
  <c r="CF24" i="2"/>
  <c r="BY24" i="2"/>
  <c r="CM20" i="2"/>
  <c r="CM21" i="2"/>
  <c r="CY21" i="2"/>
  <c r="CX21" i="2"/>
  <c r="CF21" i="2"/>
  <c r="BY21" i="2"/>
  <c r="CY20" i="2"/>
  <c r="CX20" i="2"/>
  <c r="CF20" i="2"/>
  <c r="BY20" i="2"/>
  <c r="CM16" i="2"/>
  <c r="BY17" i="2"/>
  <c r="CF17" i="2"/>
  <c r="CM17" i="2"/>
  <c r="CY17" i="2"/>
  <c r="CY16" i="2"/>
  <c r="CX16" i="2"/>
  <c r="CF16" i="2"/>
  <c r="BY16" i="2"/>
  <c r="CM12" i="2"/>
  <c r="CM13" i="2"/>
  <c r="CY13" i="2"/>
  <c r="CX13" i="2"/>
  <c r="CF13" i="2"/>
  <c r="BY13" i="2"/>
  <c r="CY12" i="2"/>
  <c r="CX12" i="2"/>
  <c r="CF12" i="2"/>
  <c r="BY12" i="2"/>
  <c r="CM8" i="2"/>
  <c r="CM9" i="2"/>
  <c r="CY9" i="2"/>
  <c r="CX9" i="2"/>
  <c r="CF9" i="2"/>
  <c r="BY9" i="2"/>
  <c r="CY8" i="2"/>
  <c r="CX8" i="2"/>
  <c r="CF8" i="2"/>
  <c r="BY8" i="2"/>
  <c r="CM4" i="2"/>
  <c r="CM5" i="2"/>
  <c r="BY4" i="2"/>
  <c r="CF4" i="2"/>
  <c r="BY5" i="2"/>
  <c r="CF5" i="2"/>
  <c r="CY5" i="2"/>
  <c r="CY4" i="2"/>
  <c r="F35" i="2"/>
  <c r="M35" i="2"/>
  <c r="N35" i="2"/>
  <c r="U35" i="2" s="1"/>
  <c r="F34" i="2"/>
  <c r="M34" i="2"/>
  <c r="N34" i="2"/>
  <c r="F33" i="2"/>
  <c r="N33" i="2"/>
  <c r="F32" i="2"/>
  <c r="M32" i="2"/>
  <c r="N32" i="2"/>
  <c r="F31" i="2"/>
  <c r="M31" i="2"/>
  <c r="N31" i="2"/>
  <c r="F30" i="2"/>
  <c r="M30" i="2"/>
  <c r="N30" i="2"/>
  <c r="F29" i="2"/>
  <c r="M29" i="2"/>
  <c r="N29" i="2"/>
  <c r="F28" i="2"/>
  <c r="M28" i="2"/>
  <c r="N28" i="2"/>
  <c r="F27" i="2"/>
  <c r="M27" i="2"/>
  <c r="N27" i="2"/>
  <c r="M26" i="2"/>
  <c r="N26" i="2"/>
  <c r="F25" i="2"/>
  <c r="M25" i="2"/>
  <c r="N25" i="2"/>
  <c r="M24" i="2"/>
  <c r="F23" i="2"/>
  <c r="M23" i="2"/>
  <c r="N23" i="2"/>
  <c r="F22" i="2"/>
  <c r="M22" i="2"/>
  <c r="N22" i="2"/>
  <c r="M21" i="2"/>
  <c r="N21" i="2"/>
  <c r="F20" i="2"/>
  <c r="M20" i="2"/>
  <c r="N20" i="2"/>
  <c r="O20" i="2" s="1"/>
  <c r="F19" i="2"/>
  <c r="F18" i="2"/>
  <c r="N18" i="2"/>
  <c r="F16" i="2"/>
  <c r="H16" i="2" s="1"/>
  <c r="M16" i="2"/>
  <c r="N16" i="2"/>
  <c r="F14" i="2"/>
  <c r="M14" i="2"/>
  <c r="N14" i="2"/>
  <c r="F13" i="2"/>
  <c r="N13" i="2"/>
  <c r="M12" i="2"/>
  <c r="T12" i="2" s="1"/>
  <c r="N11" i="2"/>
  <c r="F10" i="2"/>
  <c r="M10" i="2"/>
  <c r="N10" i="2"/>
  <c r="O10" i="2" s="1"/>
  <c r="F9" i="2"/>
  <c r="M9" i="2"/>
  <c r="O9" i="2" s="1"/>
  <c r="N9" i="2"/>
  <c r="F8" i="2"/>
  <c r="M8" i="2"/>
  <c r="N8" i="2"/>
  <c r="CX4" i="2"/>
  <c r="CX5" i="2"/>
  <c r="CX17" i="2"/>
  <c r="CX32" i="2"/>
  <c r="CX33" i="2"/>
  <c r="M33" i="2"/>
  <c r="K33" i="2"/>
  <c r="E33" i="2"/>
  <c r="J33" i="2"/>
  <c r="F26" i="2"/>
  <c r="G26" i="2"/>
  <c r="E26" i="2"/>
  <c r="N24" i="2"/>
  <c r="L24" i="2"/>
  <c r="F24" i="2"/>
  <c r="T24" i="2" s="1"/>
  <c r="G24" i="2"/>
  <c r="J24" i="2"/>
  <c r="E21" i="2"/>
  <c r="L21" i="2"/>
  <c r="F21" i="2"/>
  <c r="M19" i="2"/>
  <c r="M17" i="2"/>
  <c r="F17" i="2"/>
  <c r="M15" i="2"/>
  <c r="G15" i="2"/>
  <c r="K15" i="2"/>
  <c r="F15" i="2"/>
  <c r="L15" i="2"/>
  <c r="J15" i="2"/>
  <c r="D15" i="2"/>
  <c r="I15" i="2" s="1"/>
  <c r="N15" i="2"/>
  <c r="M13" i="2"/>
  <c r="T13" i="2" s="1"/>
  <c r="F12" i="2"/>
  <c r="L12" i="2"/>
  <c r="G12" i="2"/>
  <c r="J12" i="2"/>
  <c r="P12" i="2" s="1"/>
  <c r="N12" i="2"/>
  <c r="E12" i="2"/>
  <c r="M11" i="2"/>
  <c r="O11" i="2" s="1"/>
  <c r="E11" i="2"/>
  <c r="F11" i="2"/>
  <c r="F6" i="2"/>
  <c r="J6" i="2"/>
  <c r="G4" i="2"/>
  <c r="L4" i="2"/>
  <c r="D4" i="2"/>
  <c r="E5" i="2"/>
  <c r="E17" i="2"/>
  <c r="L5" i="2"/>
  <c r="L17" i="2"/>
  <c r="S17" i="2" s="1"/>
  <c r="M7" i="2"/>
  <c r="M5" i="2"/>
  <c r="M4" i="2"/>
  <c r="G5" i="2"/>
  <c r="U5" i="2" s="1"/>
  <c r="G17" i="2"/>
  <c r="H17" i="2" s="1"/>
  <c r="J7" i="2"/>
  <c r="C6" i="2"/>
  <c r="K4" i="2"/>
  <c r="C4" i="2"/>
  <c r="J18" i="2"/>
  <c r="N17" i="2"/>
  <c r="M18" i="2"/>
  <c r="T18" i="2" s="1"/>
  <c r="N19" i="2"/>
  <c r="E7" i="2"/>
  <c r="E19" i="2"/>
  <c r="L7" i="2"/>
  <c r="L19" i="2"/>
  <c r="G7" i="2"/>
  <c r="G19" i="2"/>
  <c r="K5" i="2"/>
  <c r="P5" i="2" s="1"/>
  <c r="J19" i="2"/>
  <c r="J17" i="2"/>
  <c r="F126" i="15"/>
  <c r="AE127" i="15"/>
  <c r="AE146" i="15"/>
  <c r="T146" i="15"/>
  <c r="K31" i="2"/>
  <c r="C31" i="2"/>
  <c r="Q31" i="2" s="1"/>
  <c r="K30" i="2"/>
  <c r="C30" i="2"/>
  <c r="K29" i="2"/>
  <c r="C29" i="2"/>
  <c r="Q29" i="2" s="1"/>
  <c r="K28" i="2"/>
  <c r="C28" i="2"/>
  <c r="K19" i="2"/>
  <c r="C19" i="2"/>
  <c r="K18" i="2"/>
  <c r="R18" i="2" s="1"/>
  <c r="C18" i="2"/>
  <c r="K17" i="2"/>
  <c r="C17" i="2"/>
  <c r="K16" i="2"/>
  <c r="D23" i="2"/>
  <c r="I23" i="2" s="1"/>
  <c r="D22" i="2"/>
  <c r="D21" i="2"/>
  <c r="I21" i="2" s="1"/>
  <c r="D20" i="2"/>
  <c r="N123" i="15"/>
  <c r="D27" i="2"/>
  <c r="I27" i="2" s="1"/>
  <c r="D26" i="2"/>
  <c r="D25" i="2"/>
  <c r="D24" i="2"/>
  <c r="K23" i="2"/>
  <c r="P23" i="2" s="1"/>
  <c r="K22" i="2"/>
  <c r="K21" i="2"/>
  <c r="K20" i="2"/>
  <c r="P20" i="2" s="1"/>
  <c r="D11" i="2"/>
  <c r="D10" i="2"/>
  <c r="D9" i="2"/>
  <c r="D8" i="2"/>
  <c r="AE126" i="15"/>
  <c r="T133" i="15"/>
  <c r="K27" i="2"/>
  <c r="K26" i="2"/>
  <c r="K25" i="2"/>
  <c r="K24" i="2"/>
  <c r="K11" i="2"/>
  <c r="K10" i="2"/>
  <c r="K9" i="2"/>
  <c r="K8" i="2"/>
  <c r="P8" i="2" s="1"/>
  <c r="P168" i="15"/>
  <c r="AE136" i="15"/>
  <c r="N133" i="15"/>
  <c r="AE137" i="15"/>
  <c r="F117" i="15"/>
  <c r="F116" i="15"/>
  <c r="P76" i="15"/>
  <c r="P16" i="15"/>
  <c r="K6" i="2"/>
  <c r="D6" i="2"/>
  <c r="R6" i="2" s="1"/>
  <c r="G6" i="2"/>
  <c r="L6" i="2"/>
  <c r="R29" i="2"/>
  <c r="P158" i="15"/>
  <c r="R146" i="15"/>
  <c r="P145" i="15"/>
  <c r="W102" i="15"/>
  <c r="Z165" i="15"/>
  <c r="AE169" i="15" s="1"/>
  <c r="P136" i="15"/>
  <c r="P135" i="15"/>
  <c r="W101" i="15"/>
  <c r="H165" i="15"/>
  <c r="N168" i="15" s="1"/>
  <c r="P125" i="15"/>
  <c r="W100" i="15"/>
  <c r="Z155" i="15"/>
  <c r="T158" i="15" s="1"/>
  <c r="AE116" i="15"/>
  <c r="N113" i="15"/>
  <c r="T116" i="15"/>
  <c r="P115" i="15"/>
  <c r="W99" i="15"/>
  <c r="H155" i="15"/>
  <c r="F158" i="15" s="1"/>
  <c r="F137" i="15"/>
  <c r="F136" i="15"/>
  <c r="F147" i="15"/>
  <c r="H106" i="15"/>
  <c r="P85" i="15"/>
  <c r="P75" i="15"/>
  <c r="H105" i="15"/>
  <c r="P66" i="15"/>
  <c r="R66" i="15"/>
  <c r="P56" i="15"/>
  <c r="H103" i="15"/>
  <c r="H102" i="15"/>
  <c r="P45" i="15"/>
  <c r="P36" i="15"/>
  <c r="H101" i="15"/>
  <c r="R26" i="15"/>
  <c r="H100" i="15"/>
  <c r="H99" i="15"/>
  <c r="P157" i="15"/>
  <c r="N176" i="15" s="1"/>
  <c r="P167" i="15"/>
  <c r="T176" i="15" s="1"/>
  <c r="P183" i="15"/>
  <c r="P65" i="15"/>
  <c r="H104" i="15"/>
  <c r="P55" i="15"/>
  <c r="P35" i="15"/>
  <c r="P25" i="15"/>
  <c r="O31" i="2" l="1"/>
  <c r="P13" i="2"/>
  <c r="R35" i="2"/>
  <c r="T22" i="2"/>
  <c r="T34" i="2"/>
  <c r="P35" i="2"/>
  <c r="S14" i="2"/>
  <c r="H35" i="2"/>
  <c r="I11" i="2"/>
  <c r="T25" i="2"/>
  <c r="H29" i="2"/>
  <c r="T35" i="2"/>
  <c r="Q23" i="2"/>
  <c r="U33" i="2"/>
  <c r="H25" i="2"/>
  <c r="I13" i="2"/>
  <c r="W13" i="2" s="1"/>
  <c r="R34" i="2"/>
  <c r="I5" i="2"/>
  <c r="S12" i="2"/>
  <c r="U7" i="2"/>
  <c r="O7" i="2"/>
  <c r="U12" i="2"/>
  <c r="S22" i="2"/>
  <c r="Q14" i="2"/>
  <c r="R19" i="2"/>
  <c r="R17" i="2"/>
  <c r="O33" i="2"/>
  <c r="H9" i="2"/>
  <c r="V9" i="2" s="1"/>
  <c r="R27" i="2"/>
  <c r="P19" i="2"/>
  <c r="U19" i="2"/>
  <c r="H12" i="2"/>
  <c r="U9" i="2"/>
  <c r="U27" i="2"/>
  <c r="S13" i="2"/>
  <c r="I25" i="2"/>
  <c r="I17" i="2"/>
  <c r="T6" i="2"/>
  <c r="S21" i="2"/>
  <c r="H26" i="2"/>
  <c r="T8" i="2"/>
  <c r="P18" i="2"/>
  <c r="H24" i="2"/>
  <c r="O16" i="2"/>
  <c r="I14" i="2"/>
  <c r="O32" i="2"/>
  <c r="U34" i="2"/>
  <c r="O35" i="2"/>
  <c r="P17" i="2"/>
  <c r="P7" i="2"/>
  <c r="O5" i="2"/>
  <c r="H20" i="2"/>
  <c r="V20" i="2" s="1"/>
  <c r="O22" i="2"/>
  <c r="S8" i="2"/>
  <c r="S20" i="2"/>
  <c r="U16" i="2"/>
  <c r="U28" i="2"/>
  <c r="U32" i="2"/>
  <c r="P14" i="2"/>
  <c r="Q34" i="2"/>
  <c r="U20" i="2"/>
  <c r="R22" i="2"/>
  <c r="O28" i="2"/>
  <c r="Q25" i="2"/>
  <c r="O34" i="2"/>
  <c r="H15" i="2"/>
  <c r="U21" i="2"/>
  <c r="T31" i="2"/>
  <c r="S30" i="2"/>
  <c r="S35" i="2"/>
  <c r="S6" i="2"/>
  <c r="Q16" i="2"/>
  <c r="P21" i="2"/>
  <c r="W21" i="2" s="1"/>
  <c r="I20" i="2"/>
  <c r="W20" i="2" s="1"/>
  <c r="P9" i="2"/>
  <c r="R15" i="2"/>
  <c r="T20" i="2"/>
  <c r="H6" i="2"/>
  <c r="V6" i="2" s="1"/>
  <c r="R10" i="2"/>
  <c r="P28" i="2"/>
  <c r="Q4" i="2"/>
  <c r="P6" i="2"/>
  <c r="T17" i="2"/>
  <c r="H19" i="2"/>
  <c r="U30" i="2"/>
  <c r="S24" i="2"/>
  <c r="S23" i="2"/>
  <c r="P34" i="2"/>
  <c r="P32" i="2"/>
  <c r="P27" i="2"/>
  <c r="W27" i="2" s="1"/>
  <c r="I26" i="2"/>
  <c r="I7" i="2"/>
  <c r="P22" i="2"/>
  <c r="Q10" i="2"/>
  <c r="W5" i="2"/>
  <c r="V16" i="2"/>
  <c r="S15" i="2"/>
  <c r="Q7" i="2"/>
  <c r="R8" i="2"/>
  <c r="R20" i="2"/>
  <c r="R31" i="2"/>
  <c r="P24" i="2"/>
  <c r="T10" i="2"/>
  <c r="T23" i="2"/>
  <c r="O26" i="2"/>
  <c r="T29" i="2"/>
  <c r="H30" i="2"/>
  <c r="S4" i="2"/>
  <c r="H11" i="2"/>
  <c r="U18" i="2"/>
  <c r="U23" i="2"/>
  <c r="R14" i="2"/>
  <c r="Q13" i="2"/>
  <c r="P31" i="2"/>
  <c r="U13" i="2"/>
  <c r="Q27" i="2"/>
  <c r="H18" i="2"/>
  <c r="T16" i="2"/>
  <c r="S7" i="2"/>
  <c r="O4" i="2"/>
  <c r="U8" i="2"/>
  <c r="H13" i="2"/>
  <c r="O27" i="2"/>
  <c r="T28" i="2"/>
  <c r="S31" i="2"/>
  <c r="S11" i="2"/>
  <c r="S18" i="2"/>
  <c r="H34" i="2"/>
  <c r="I31" i="2"/>
  <c r="Q22" i="2"/>
  <c r="I10" i="2"/>
  <c r="S34" i="2"/>
  <c r="Q12" i="2"/>
  <c r="I16" i="2"/>
  <c r="Q26" i="2"/>
  <c r="I22" i="2"/>
  <c r="I29" i="2"/>
  <c r="W29" i="2" s="1"/>
  <c r="T19" i="2"/>
  <c r="H23" i="2"/>
  <c r="Q21" i="2"/>
  <c r="O13" i="2"/>
  <c r="U17" i="2"/>
  <c r="O18" i="2"/>
  <c r="Q32" i="2"/>
  <c r="P10" i="2"/>
  <c r="U6" i="2"/>
  <c r="I34" i="2"/>
  <c r="T15" i="2"/>
  <c r="O12" i="2"/>
  <c r="R11" i="2"/>
  <c r="R21" i="2"/>
  <c r="Q17" i="2"/>
  <c r="P30" i="2"/>
  <c r="O19" i="2"/>
  <c r="P15" i="2"/>
  <c r="W15" i="2" s="1"/>
  <c r="O8" i="2"/>
  <c r="T9" i="2"/>
  <c r="U11" i="2"/>
  <c r="O23" i="2"/>
  <c r="U26" i="2"/>
  <c r="S9" i="2"/>
  <c r="S28" i="2"/>
  <c r="S33" i="2"/>
  <c r="U22" i="2"/>
  <c r="H28" i="2"/>
  <c r="V28" i="2" s="1"/>
  <c r="I35" i="2"/>
  <c r="Q5" i="2"/>
  <c r="U24" i="2"/>
  <c r="O24" i="2"/>
  <c r="P25" i="2"/>
  <c r="R25" i="2"/>
  <c r="P16" i="2"/>
  <c r="R16" i="2"/>
  <c r="I18" i="2"/>
  <c r="Q18" i="2"/>
  <c r="Q28" i="2"/>
  <c r="I28" i="2"/>
  <c r="Q30" i="2"/>
  <c r="I30" i="2"/>
  <c r="I6" i="2"/>
  <c r="Q6" i="2"/>
  <c r="V11" i="2"/>
  <c r="Q8" i="2"/>
  <c r="I8" i="2"/>
  <c r="W8" i="2" s="1"/>
  <c r="O15" i="2"/>
  <c r="U15" i="2"/>
  <c r="R7" i="2"/>
  <c r="O14" i="2"/>
  <c r="U14" i="2"/>
  <c r="O25" i="2"/>
  <c r="U25" i="2"/>
  <c r="H27" i="2"/>
  <c r="T27" i="2"/>
  <c r="U29" i="2"/>
  <c r="O29" i="2"/>
  <c r="V29" i="2" s="1"/>
  <c r="T30" i="2"/>
  <c r="O30" i="2"/>
  <c r="H7" i="2"/>
  <c r="T7" i="2"/>
  <c r="T5" i="2"/>
  <c r="H5" i="2"/>
  <c r="H10" i="2"/>
  <c r="V10" i="2" s="1"/>
  <c r="U10" i="2"/>
  <c r="U31" i="2"/>
  <c r="H31" i="2"/>
  <c r="R26" i="2"/>
  <c r="P26" i="2"/>
  <c r="T21" i="2"/>
  <c r="H21" i="2"/>
  <c r="S26" i="2"/>
  <c r="H33" i="2"/>
  <c r="T33" i="2"/>
  <c r="Q24" i="2"/>
  <c r="Q9" i="2"/>
  <c r="H8" i="2"/>
  <c r="V8" i="2" s="1"/>
  <c r="R30" i="2"/>
  <c r="I32" i="2"/>
  <c r="O21" i="2"/>
  <c r="R23" i="2"/>
  <c r="T26" i="2"/>
  <c r="Q19" i="2"/>
  <c r="I19" i="2"/>
  <c r="S5" i="2"/>
  <c r="H14" i="2"/>
  <c r="T14" i="2"/>
  <c r="R13" i="2"/>
  <c r="R12" i="2"/>
  <c r="I12" i="2"/>
  <c r="W12" i="2" s="1"/>
  <c r="P33" i="2"/>
  <c r="Q33" i="2"/>
  <c r="H22" i="2"/>
  <c r="R33" i="2"/>
  <c r="I33" i="2"/>
  <c r="I24" i="2"/>
  <c r="W23" i="2"/>
  <c r="I9" i="2"/>
  <c r="R9" i="2"/>
  <c r="S19" i="2"/>
  <c r="P4" i="2"/>
  <c r="R4" i="2"/>
  <c r="O17" i="2"/>
  <c r="V17" i="2" s="1"/>
  <c r="Q15" i="2"/>
  <c r="R24" i="2"/>
  <c r="U4" i="2"/>
  <c r="T11" i="2"/>
  <c r="T32" i="2"/>
  <c r="S27" i="2"/>
  <c r="H32" i="2"/>
  <c r="R5" i="2"/>
  <c r="P11" i="2"/>
  <c r="W11" i="2" s="1"/>
  <c r="I4" i="2"/>
  <c r="T168" i="15"/>
  <c r="AE158" i="15"/>
  <c r="AE159" i="15"/>
  <c r="F159" i="15"/>
  <c r="N155" i="15"/>
  <c r="T155" i="15"/>
  <c r="N158" i="15"/>
  <c r="T165" i="15"/>
  <c r="F169" i="15"/>
  <c r="AE168" i="15"/>
  <c r="F168" i="15"/>
  <c r="N165" i="15"/>
  <c r="H4" i="2"/>
  <c r="T4" i="2"/>
  <c r="W35" i="2" l="1"/>
  <c r="V25" i="2"/>
  <c r="W25" i="2"/>
  <c r="V19" i="2"/>
  <c r="V12" i="2"/>
  <c r="V26" i="2"/>
  <c r="V24" i="2"/>
  <c r="V13" i="2"/>
  <c r="V31" i="2"/>
  <c r="V22" i="2"/>
  <c r="V35" i="2"/>
  <c r="V33" i="2"/>
  <c r="V7" i="2"/>
  <c r="W14" i="2"/>
  <c r="Y14" i="2" s="1"/>
  <c r="W17" i="2"/>
  <c r="V32" i="2"/>
  <c r="W9" i="2"/>
  <c r="V5" i="2"/>
  <c r="W18" i="2"/>
  <c r="V4" i="2"/>
  <c r="V15" i="2"/>
  <c r="W22" i="2"/>
  <c r="Y21" i="2" s="1"/>
  <c r="W7" i="2"/>
  <c r="W19" i="2"/>
  <c r="V34" i="2"/>
  <c r="W28" i="2"/>
  <c r="W24" i="2"/>
  <c r="W26" i="2"/>
  <c r="W34" i="2"/>
  <c r="W31" i="2"/>
  <c r="W6" i="2"/>
  <c r="W32" i="2"/>
  <c r="V30" i="2"/>
  <c r="V23" i="2"/>
  <c r="W16" i="2"/>
  <c r="W10" i="2"/>
  <c r="V27" i="2"/>
  <c r="V14" i="2"/>
  <c r="V18" i="2"/>
  <c r="W4" i="2"/>
  <c r="W33" i="2"/>
  <c r="W30" i="2"/>
  <c r="V21" i="2"/>
  <c r="Y22" i="2" l="1"/>
  <c r="Y15" i="2"/>
  <c r="Y8" i="2"/>
  <c r="Y20" i="2"/>
  <c r="Y12" i="2"/>
  <c r="Y23" i="2"/>
  <c r="Y31" i="2"/>
  <c r="Z15" i="2"/>
  <c r="Z17" i="2"/>
  <c r="Y26" i="2"/>
  <c r="Z8" i="2"/>
  <c r="Y13" i="2"/>
  <c r="Z26" i="2"/>
  <c r="Y18" i="2"/>
  <c r="Y7" i="2"/>
  <c r="Y28" i="2"/>
  <c r="Z32" i="2"/>
  <c r="Z12" i="2"/>
  <c r="Y6" i="2"/>
  <c r="Z7" i="2"/>
  <c r="Y24" i="2"/>
  <c r="Z14" i="2"/>
  <c r="Z16" i="2"/>
  <c r="Z6" i="2"/>
  <c r="Z18" i="2"/>
  <c r="Z25" i="2"/>
  <c r="Z13" i="2"/>
  <c r="Y27" i="2"/>
  <c r="Y17" i="2"/>
  <c r="Z11" i="2"/>
  <c r="Y25" i="2"/>
  <c r="Z24" i="2"/>
  <c r="Z19" i="2"/>
  <c r="Z28" i="2"/>
  <c r="Y32" i="2"/>
  <c r="Y30" i="2"/>
  <c r="Z31" i="2"/>
  <c r="Z10" i="2"/>
  <c r="Y9" i="2"/>
  <c r="Z29" i="2"/>
  <c r="Y19" i="2"/>
  <c r="Y11" i="2"/>
  <c r="Z27" i="2"/>
  <c r="Z9" i="2"/>
  <c r="Y10" i="2"/>
  <c r="Y16" i="2"/>
  <c r="Y29" i="2"/>
  <c r="Z30" i="2"/>
  <c r="Y34" i="2"/>
  <c r="Z33" i="2"/>
  <c r="Z4" i="2"/>
  <c r="Y5" i="2"/>
  <c r="Y4" i="2"/>
  <c r="Z35" i="2"/>
  <c r="Y35" i="2"/>
  <c r="Z34" i="2"/>
  <c r="Y33" i="2"/>
  <c r="Z5" i="2"/>
  <c r="Z21" i="2"/>
  <c r="Z20" i="2"/>
  <c r="Z22" i="2"/>
  <c r="Z23" i="2"/>
  <c r="AA15" i="2" l="1"/>
  <c r="AA13" i="2"/>
  <c r="AB14" i="2"/>
  <c r="AB16" i="2"/>
  <c r="AB9" i="2"/>
  <c r="AB15" i="2"/>
  <c r="A15" i="2" s="1"/>
  <c r="AA14" i="2"/>
  <c r="A14" i="2" s="1"/>
  <c r="AA12" i="2"/>
  <c r="AA29" i="2"/>
  <c r="AB12" i="2"/>
  <c r="AB13" i="2"/>
  <c r="AA30" i="2"/>
  <c r="AA27" i="2"/>
  <c r="AB10" i="2"/>
  <c r="AB19" i="2"/>
  <c r="AB29" i="2"/>
  <c r="AA16" i="2"/>
  <c r="AB18" i="2"/>
  <c r="AB27" i="2"/>
  <c r="AB34" i="2"/>
  <c r="AA6" i="2"/>
  <c r="AB30" i="2"/>
  <c r="AA25" i="2"/>
  <c r="AB8" i="2"/>
  <c r="AA19" i="2"/>
  <c r="AB11" i="2"/>
  <c r="AB31" i="2"/>
  <c r="AA10" i="2"/>
  <c r="AA9" i="2"/>
  <c r="A9" i="2" s="1"/>
  <c r="AA7" i="2"/>
  <c r="AB26" i="2"/>
  <c r="AA34" i="2"/>
  <c r="A34" i="2" s="1"/>
  <c r="AB33" i="2"/>
  <c r="AA11" i="2"/>
  <c r="AA8" i="2"/>
  <c r="AA28" i="2"/>
  <c r="AA31" i="2"/>
  <c r="AA17" i="2"/>
  <c r="AA18" i="2"/>
  <c r="AA22" i="2"/>
  <c r="AA26" i="2"/>
  <c r="AB24" i="2"/>
  <c r="AB25" i="2"/>
  <c r="A25" i="2" s="1"/>
  <c r="AA5" i="2"/>
  <c r="AA35" i="2"/>
  <c r="AB28" i="2"/>
  <c r="AB17" i="2"/>
  <c r="AA24" i="2"/>
  <c r="AB5" i="2"/>
  <c r="AA33" i="2"/>
  <c r="AA32" i="2"/>
  <c r="AB35" i="2"/>
  <c r="AB21" i="2"/>
  <c r="AB4" i="2"/>
  <c r="AB6" i="2"/>
  <c r="AA4" i="2"/>
  <c r="AB32" i="2"/>
  <c r="AB7" i="2"/>
  <c r="AB23" i="2"/>
  <c r="AA20" i="2"/>
  <c r="AA21" i="2"/>
  <c r="AA23" i="2"/>
  <c r="AB20" i="2"/>
  <c r="AB22" i="2"/>
  <c r="A13" i="2" l="1"/>
  <c r="A19" i="2"/>
  <c r="A16" i="2"/>
  <c r="AD16" i="2" s="1"/>
  <c r="AE16" i="2" s="1"/>
  <c r="A27" i="2"/>
  <c r="A29" i="2"/>
  <c r="A5" i="2"/>
  <c r="A8" i="2"/>
  <c r="AD8" i="2" s="1"/>
  <c r="AE8" i="2" s="1"/>
  <c r="A30" i="2"/>
  <c r="A18" i="2"/>
  <c r="A10" i="2"/>
  <c r="A12" i="2"/>
  <c r="AD12" i="2" s="1"/>
  <c r="AE12" i="2" s="1"/>
  <c r="AD13" i="2"/>
  <c r="BQ13" i="2" s="1"/>
  <c r="A32" i="2"/>
  <c r="AD32" i="2" s="1"/>
  <c r="AE32" i="2" s="1"/>
  <c r="A23" i="2"/>
  <c r="A6" i="2"/>
  <c r="A22" i="2"/>
  <c r="A17" i="2"/>
  <c r="A11" i="2"/>
  <c r="A24" i="2"/>
  <c r="AD24" i="2" s="1"/>
  <c r="AE24" i="2" s="1"/>
  <c r="A26" i="2"/>
  <c r="A31" i="2"/>
  <c r="A7" i="2"/>
  <c r="A35" i="2"/>
  <c r="A33" i="2"/>
  <c r="AD33" i="2" s="1"/>
  <c r="AE33" i="2" s="1"/>
  <c r="A28" i="2"/>
  <c r="A4" i="2"/>
  <c r="AD4" i="2" s="1"/>
  <c r="AD14" i="2"/>
  <c r="AE14" i="2" s="1"/>
  <c r="A21" i="2"/>
  <c r="A20" i="2"/>
  <c r="BQ8" i="2"/>
  <c r="BQ16" i="2" l="1"/>
  <c r="AD11" i="2"/>
  <c r="BQ11" i="2" s="1"/>
  <c r="AD15" i="2"/>
  <c r="AE15" i="2" s="1"/>
  <c r="AD10" i="2"/>
  <c r="AD9" i="2"/>
  <c r="BQ9" i="2" s="1"/>
  <c r="AD21" i="2"/>
  <c r="AE21" i="2" s="1"/>
  <c r="BQ12" i="2"/>
  <c r="BQ33" i="2"/>
  <c r="AE13" i="2"/>
  <c r="AF14" i="2" s="1"/>
  <c r="AD25" i="2"/>
  <c r="BQ25" i="2" s="1"/>
  <c r="AD18" i="2"/>
  <c r="BQ18" i="2" s="1"/>
  <c r="AD27" i="2"/>
  <c r="AE27" i="2" s="1"/>
  <c r="AD34" i="2"/>
  <c r="AE34" i="2" s="1"/>
  <c r="AF34" i="2" s="1"/>
  <c r="AD26" i="2"/>
  <c r="AD23" i="2"/>
  <c r="BQ23" i="2" s="1"/>
  <c r="AD35" i="2"/>
  <c r="AE35" i="2" s="1"/>
  <c r="AD19" i="2"/>
  <c r="AD17" i="2"/>
  <c r="AE11" i="2"/>
  <c r="AD6" i="2"/>
  <c r="AE6" i="2" s="1"/>
  <c r="AD20" i="2"/>
  <c r="AE20" i="2" s="1"/>
  <c r="BQ14" i="2"/>
  <c r="BQ4" i="2"/>
  <c r="AE4" i="2"/>
  <c r="BQ24" i="2"/>
  <c r="BQ32" i="2"/>
  <c r="AD7" i="2"/>
  <c r="BQ7" i="2" s="1"/>
  <c r="AD30" i="2"/>
  <c r="AD31" i="2"/>
  <c r="AD28" i="2"/>
  <c r="AD29" i="2"/>
  <c r="AD5" i="2"/>
  <c r="AD22" i="2"/>
  <c r="BQ22" i="2" s="1"/>
  <c r="AF32" i="2"/>
  <c r="BQ15" i="2" l="1"/>
  <c r="AE23" i="2"/>
  <c r="BQ20" i="2"/>
  <c r="BQ27" i="2"/>
  <c r="AE9" i="2"/>
  <c r="AF8" i="2" s="1"/>
  <c r="BB8" i="2" s="1"/>
  <c r="AE18" i="2"/>
  <c r="BQ21" i="2"/>
  <c r="BR22" i="2" s="1"/>
  <c r="AE10" i="2"/>
  <c r="AF11" i="2" s="1"/>
  <c r="BQ10" i="2"/>
  <c r="BR10" i="2" s="1"/>
  <c r="CF10" i="2" s="1"/>
  <c r="AE22" i="2"/>
  <c r="AF23" i="2" s="1"/>
  <c r="AF33" i="2"/>
  <c r="BB33" i="2" s="1"/>
  <c r="AF12" i="2"/>
  <c r="DA12" i="2" s="1"/>
  <c r="DB12" i="2" s="1"/>
  <c r="BQ34" i="2"/>
  <c r="AF15" i="2"/>
  <c r="DA15" i="2" s="1"/>
  <c r="AE7" i="2"/>
  <c r="AF13" i="2"/>
  <c r="BP13" i="2" s="1"/>
  <c r="AE25" i="2"/>
  <c r="AF24" i="2" s="1"/>
  <c r="BP24" i="2" s="1"/>
  <c r="AF35" i="2"/>
  <c r="BC35" i="2" s="1"/>
  <c r="BD33" i="2"/>
  <c r="BQ35" i="2"/>
  <c r="BR34" i="2" s="1"/>
  <c r="AE26" i="2"/>
  <c r="BQ26" i="2"/>
  <c r="BQ6" i="2"/>
  <c r="BQ17" i="2"/>
  <c r="AE17" i="2"/>
  <c r="AE19" i="2"/>
  <c r="BQ19" i="2"/>
  <c r="BB24" i="2"/>
  <c r="BD24" i="2"/>
  <c r="AE29" i="2"/>
  <c r="BQ29" i="2"/>
  <c r="BR14" i="2"/>
  <c r="CF14" i="2" s="1"/>
  <c r="BQ28" i="2"/>
  <c r="AE28" i="2"/>
  <c r="AE5" i="2"/>
  <c r="AF6" i="2" s="1"/>
  <c r="BQ5" i="2"/>
  <c r="BQ30" i="2"/>
  <c r="AE30" i="2"/>
  <c r="BQ31" i="2"/>
  <c r="AE31" i="2"/>
  <c r="BR15" i="2"/>
  <c r="AF20" i="2"/>
  <c r="DA14" i="2"/>
  <c r="BB14" i="2"/>
  <c r="BC14" i="2"/>
  <c r="BD14" i="2"/>
  <c r="BP14" i="2"/>
  <c r="BB35" i="2"/>
  <c r="CX10" i="2"/>
  <c r="CY10" i="2"/>
  <c r="BD32" i="2"/>
  <c r="BC32" i="2"/>
  <c r="BB32" i="2"/>
  <c r="BP32" i="2"/>
  <c r="DA32" i="2"/>
  <c r="DB32" i="2" s="1"/>
  <c r="BB34" i="2"/>
  <c r="BC34" i="2"/>
  <c r="BD34" i="2"/>
  <c r="DA34" i="2"/>
  <c r="BP34" i="2"/>
  <c r="BP35" i="2" l="1"/>
  <c r="BP33" i="2"/>
  <c r="DA33" i="2"/>
  <c r="DB33" i="2" s="1"/>
  <c r="BP12" i="2"/>
  <c r="BB15" i="2"/>
  <c r="BR26" i="2"/>
  <c r="BC33" i="2"/>
  <c r="BB11" i="2"/>
  <c r="BC11" i="2"/>
  <c r="BP11" i="2"/>
  <c r="BD11" i="2"/>
  <c r="DA11" i="2"/>
  <c r="BB12" i="2"/>
  <c r="AF19" i="2"/>
  <c r="BC19" i="2" s="1"/>
  <c r="AF4" i="2"/>
  <c r="DA4" i="2" s="1"/>
  <c r="DB4" i="2" s="1"/>
  <c r="DA8" i="2"/>
  <c r="DB8" i="2" s="1"/>
  <c r="BC8" i="2"/>
  <c r="BP8" i="2"/>
  <c r="BD35" i="2"/>
  <c r="BD12" i="2"/>
  <c r="BC15" i="2"/>
  <c r="BD8" i="2"/>
  <c r="CM10" i="2"/>
  <c r="BY10" i="2"/>
  <c r="AF21" i="2"/>
  <c r="BP21" i="2" s="1"/>
  <c r="BB13" i="2"/>
  <c r="BD13" i="2"/>
  <c r="AF18" i="2"/>
  <c r="BP18" i="2" s="1"/>
  <c r="AF10" i="2"/>
  <c r="AF9" i="2"/>
  <c r="AF22" i="2"/>
  <c r="BC22" i="2" s="1"/>
  <c r="DB34" i="2"/>
  <c r="BR11" i="2"/>
  <c r="CM11" i="2" s="1"/>
  <c r="BR18" i="2"/>
  <c r="CM18" i="2" s="1"/>
  <c r="BR6" i="2"/>
  <c r="CX6" i="2" s="1"/>
  <c r="DA35" i="2"/>
  <c r="DB35" i="2" s="1"/>
  <c r="BC12" i="2"/>
  <c r="BD15" i="2"/>
  <c r="BP15" i="2"/>
  <c r="CX34" i="2"/>
  <c r="BY34" i="2"/>
  <c r="BD19" i="2"/>
  <c r="AF7" i="2"/>
  <c r="BD7" i="2" s="1"/>
  <c r="BC24" i="2"/>
  <c r="DA24" i="2"/>
  <c r="DB24" i="2" s="1"/>
  <c r="AF25" i="2"/>
  <c r="BY26" i="2"/>
  <c r="AF26" i="2"/>
  <c r="BC13" i="2"/>
  <c r="DA13" i="2"/>
  <c r="DB14" i="2" s="1"/>
  <c r="DA19" i="2"/>
  <c r="BB19" i="2"/>
  <c r="CM26" i="2"/>
  <c r="BP19" i="2"/>
  <c r="CF26" i="2"/>
  <c r="AF27" i="2"/>
  <c r="CY18" i="2"/>
  <c r="CF18" i="2"/>
  <c r="BY18" i="2"/>
  <c r="CF34" i="2"/>
  <c r="CY34" i="2"/>
  <c r="BY14" i="2"/>
  <c r="BR35" i="2"/>
  <c r="CX35" i="2" s="1"/>
  <c r="CM34" i="2"/>
  <c r="AF16" i="2"/>
  <c r="AF17" i="2"/>
  <c r="CY14" i="2"/>
  <c r="CY6" i="2"/>
  <c r="CF6" i="2"/>
  <c r="AF5" i="2"/>
  <c r="AF31" i="2"/>
  <c r="DA31" i="2" s="1"/>
  <c r="AF30" i="2"/>
  <c r="BP30" i="2" s="1"/>
  <c r="BB21" i="2"/>
  <c r="BR30" i="2"/>
  <c r="BY30" i="2" s="1"/>
  <c r="AF28" i="2"/>
  <c r="BC28" i="2" s="1"/>
  <c r="BY6" i="2"/>
  <c r="CM14" i="2"/>
  <c r="CX14" i="2"/>
  <c r="CF30" i="2"/>
  <c r="BR31" i="2"/>
  <c r="BB4" i="2"/>
  <c r="AF29" i="2"/>
  <c r="DA21" i="2"/>
  <c r="BD21" i="2"/>
  <c r="DA22" i="2"/>
  <c r="CF11" i="2"/>
  <c r="CX11" i="2"/>
  <c r="BY11" i="2"/>
  <c r="CY35" i="2"/>
  <c r="BC7" i="2"/>
  <c r="CY15" i="2"/>
  <c r="BY15" i="2"/>
  <c r="CF15" i="2"/>
  <c r="CM15" i="2"/>
  <c r="CX15" i="2"/>
  <c r="DA6" i="2"/>
  <c r="BP6" i="2"/>
  <c r="BC6" i="2"/>
  <c r="BB6" i="2"/>
  <c r="BD6" i="2"/>
  <c r="BY22" i="2"/>
  <c r="CX22" i="2"/>
  <c r="CM22" i="2"/>
  <c r="BR23" i="2"/>
  <c r="CY22" i="2"/>
  <c r="CF22" i="2"/>
  <c r="DA23" i="2"/>
  <c r="BC23" i="2"/>
  <c r="BB23" i="2"/>
  <c r="BD23" i="2"/>
  <c r="BP23" i="2"/>
  <c r="DA20" i="2"/>
  <c r="DB20" i="2" s="1"/>
  <c r="BB20" i="2"/>
  <c r="BP20" i="2"/>
  <c r="BD20" i="2"/>
  <c r="BC20" i="2"/>
  <c r="BY35" i="2" l="1"/>
  <c r="BB22" i="2"/>
  <c r="BC4" i="2"/>
  <c r="DA18" i="2"/>
  <c r="CY26" i="2"/>
  <c r="BR27" i="2"/>
  <c r="CF35" i="2"/>
  <c r="CM35" i="2"/>
  <c r="CO32" i="2" s="1"/>
  <c r="DB15" i="2"/>
  <c r="BD4" i="2"/>
  <c r="BB18" i="2"/>
  <c r="CX26" i="2"/>
  <c r="CO11" i="2"/>
  <c r="CY11" i="2"/>
  <c r="BD22" i="2"/>
  <c r="BC21" i="2"/>
  <c r="BP4" i="2"/>
  <c r="BR7" i="2"/>
  <c r="CY7" i="2" s="1"/>
  <c r="BP22" i="2"/>
  <c r="CM6" i="2"/>
  <c r="BD9" i="2"/>
  <c r="BP9" i="2"/>
  <c r="BC9" i="2"/>
  <c r="DA9" i="2"/>
  <c r="DB9" i="2" s="1"/>
  <c r="BB9" i="2"/>
  <c r="BC18" i="2"/>
  <c r="CT77" i="2"/>
  <c r="CX18" i="2"/>
  <c r="BP10" i="2"/>
  <c r="BB10" i="2"/>
  <c r="BC10" i="2"/>
  <c r="BD10" i="2"/>
  <c r="DA10" i="2"/>
  <c r="BK86" i="2"/>
  <c r="CV86" i="2" s="1"/>
  <c r="DB13" i="2"/>
  <c r="BD18" i="2"/>
  <c r="BR19" i="2"/>
  <c r="CX19" i="2" s="1"/>
  <c r="BP31" i="2"/>
  <c r="BD31" i="2"/>
  <c r="BK20" i="2"/>
  <c r="BM20" i="2" s="1"/>
  <c r="BC25" i="2"/>
  <c r="BD25" i="2"/>
  <c r="BP25" i="2"/>
  <c r="BP7" i="2"/>
  <c r="BB31" i="2"/>
  <c r="DA7" i="2"/>
  <c r="BB7" i="2"/>
  <c r="BK41" i="2"/>
  <c r="BL41" i="2" s="1"/>
  <c r="BB25" i="2"/>
  <c r="DA25" i="2"/>
  <c r="DB25" i="2" s="1"/>
  <c r="BD26" i="2"/>
  <c r="BP26" i="2"/>
  <c r="DA26" i="2"/>
  <c r="BB26" i="2"/>
  <c r="BC26" i="2"/>
  <c r="BK65" i="2"/>
  <c r="CV65" i="2" s="1"/>
  <c r="CT94" i="2"/>
  <c r="CT31" i="2"/>
  <c r="CT64" i="2"/>
  <c r="BC30" i="2"/>
  <c r="BK21" i="2"/>
  <c r="CU21" i="2" s="1"/>
  <c r="BB27" i="2"/>
  <c r="BD27" i="2"/>
  <c r="DA27" i="2"/>
  <c r="BP27" i="2"/>
  <c r="BC27" i="2"/>
  <c r="CM19" i="2"/>
  <c r="CO17" i="2" s="1"/>
  <c r="CF7" i="2"/>
  <c r="CO13" i="2"/>
  <c r="CT95" i="2"/>
  <c r="BK6" i="2"/>
  <c r="BN6" i="2" s="1"/>
  <c r="BK28" i="2"/>
  <c r="CW28" i="2" s="1"/>
  <c r="BK66" i="2"/>
  <c r="CV66" i="2" s="1"/>
  <c r="BK29" i="2"/>
  <c r="BN29" i="2" s="1"/>
  <c r="CT69" i="2"/>
  <c r="BK47" i="2"/>
  <c r="BN47" i="2" s="1"/>
  <c r="BK88" i="2"/>
  <c r="CU88" i="2" s="1"/>
  <c r="CT45" i="2"/>
  <c r="CT83" i="2"/>
  <c r="BK51" i="2"/>
  <c r="CW51" i="2" s="1"/>
  <c r="CT4" i="2"/>
  <c r="BK87" i="2"/>
  <c r="CW87" i="2" s="1"/>
  <c r="CM7" i="2"/>
  <c r="BK43" i="2"/>
  <c r="BM43" i="2" s="1"/>
  <c r="CT76" i="2"/>
  <c r="BK91" i="2"/>
  <c r="BN91" i="2" s="1"/>
  <c r="BK77" i="2"/>
  <c r="BN77" i="2" s="1"/>
  <c r="CT58" i="2"/>
  <c r="BK24" i="2"/>
  <c r="BL24" i="2" s="1"/>
  <c r="CT28" i="2"/>
  <c r="CT74" i="2"/>
  <c r="BK42" i="2"/>
  <c r="BN42" i="2" s="1"/>
  <c r="CT36" i="2"/>
  <c r="CT61" i="2"/>
  <c r="BK7" i="2"/>
  <c r="CU7" i="2" s="1"/>
  <c r="CT19" i="2"/>
  <c r="CT49" i="2"/>
  <c r="CT59" i="2"/>
  <c r="CT98" i="2"/>
  <c r="CO12" i="2"/>
  <c r="BD17" i="2"/>
  <c r="DA17" i="2"/>
  <c r="BB17" i="2"/>
  <c r="BP17" i="2"/>
  <c r="BC17" i="2"/>
  <c r="BK44" i="2"/>
  <c r="BM44" i="2" s="1"/>
  <c r="BK35" i="2"/>
  <c r="CV35" i="2" s="1"/>
  <c r="CT38" i="2"/>
  <c r="CT22" i="2"/>
  <c r="CT41" i="2"/>
  <c r="CT90" i="2"/>
  <c r="BK75" i="2"/>
  <c r="BL75" i="2" s="1"/>
  <c r="BK80" i="2"/>
  <c r="CW80" i="2" s="1"/>
  <c r="BK94" i="2"/>
  <c r="CV94" i="2" s="1"/>
  <c r="BK89" i="2"/>
  <c r="BL89" i="2" s="1"/>
  <c r="CT85" i="2"/>
  <c r="CT56" i="2"/>
  <c r="BC31" i="2"/>
  <c r="BD16" i="2"/>
  <c r="DA16" i="2"/>
  <c r="DB16" i="2" s="1"/>
  <c r="BP16" i="2"/>
  <c r="BB16" i="2"/>
  <c r="BC16" i="2"/>
  <c r="CX7" i="2"/>
  <c r="BK37" i="2"/>
  <c r="BN37" i="2" s="1"/>
  <c r="BK22" i="2"/>
  <c r="BL22" i="2" s="1"/>
  <c r="BK85" i="2"/>
  <c r="BN85" i="2" s="1"/>
  <c r="CT16" i="2"/>
  <c r="BK84" i="2"/>
  <c r="BM84" i="2" s="1"/>
  <c r="CT54" i="2"/>
  <c r="CT44" i="2"/>
  <c r="CT42" i="2"/>
  <c r="CT53" i="2"/>
  <c r="BK10" i="2"/>
  <c r="CU10" i="2" s="1"/>
  <c r="CT99" i="2"/>
  <c r="BD5" i="2"/>
  <c r="CT34" i="2"/>
  <c r="BK14" i="2"/>
  <c r="CU14" i="2" s="1"/>
  <c r="BK52" i="2"/>
  <c r="BN52" i="2" s="1"/>
  <c r="CT66" i="2"/>
  <c r="BK74" i="2"/>
  <c r="BM74" i="2" s="1"/>
  <c r="BK25" i="2"/>
  <c r="BN25" i="2" s="1"/>
  <c r="BK12" i="2"/>
  <c r="CW12" i="2" s="1"/>
  <c r="CT51" i="2"/>
  <c r="CT81" i="2"/>
  <c r="BK71" i="2"/>
  <c r="BL71" i="2" s="1"/>
  <c r="CT55" i="2"/>
  <c r="CT48" i="2"/>
  <c r="CT65" i="2"/>
  <c r="CT93" i="2"/>
  <c r="CT32" i="2"/>
  <c r="CT8" i="2"/>
  <c r="BK11" i="2"/>
  <c r="CW11" i="2" s="1"/>
  <c r="CT79" i="2"/>
  <c r="BK78" i="2"/>
  <c r="CV78" i="2" s="1"/>
  <c r="BK64" i="2"/>
  <c r="BN64" i="2" s="1"/>
  <c r="BK57" i="2"/>
  <c r="CU57" i="2" s="1"/>
  <c r="CT35" i="2"/>
  <c r="CT43" i="2"/>
  <c r="BK4" i="2"/>
  <c r="DA5" i="2"/>
  <c r="DB5" i="2" s="1"/>
  <c r="CT21" i="2"/>
  <c r="BK9" i="2"/>
  <c r="BK92" i="2"/>
  <c r="CU92" i="2" s="1"/>
  <c r="CT39" i="2"/>
  <c r="CT20" i="2"/>
  <c r="BK26" i="2"/>
  <c r="BL26" i="2" s="1"/>
  <c r="BK76" i="2"/>
  <c r="BN76" i="2" s="1"/>
  <c r="CT50" i="2"/>
  <c r="BK46" i="2"/>
  <c r="CW46" i="2" s="1"/>
  <c r="BK58" i="2"/>
  <c r="CV58" i="2" s="1"/>
  <c r="CT89" i="2"/>
  <c r="BK5" i="2"/>
  <c r="CU5" i="2" s="1"/>
  <c r="CX30" i="2"/>
  <c r="BY7" i="2"/>
  <c r="CO15" i="2"/>
  <c r="BP5" i="2"/>
  <c r="BK49" i="2"/>
  <c r="BL49" i="2" s="1"/>
  <c r="BK96" i="2"/>
  <c r="CU96" i="2" s="1"/>
  <c r="BK95" i="2"/>
  <c r="CW95" i="2" s="1"/>
  <c r="BK31" i="2"/>
  <c r="CW31" i="2" s="1"/>
  <c r="CT86" i="2"/>
  <c r="BC5" i="2"/>
  <c r="BK72" i="2"/>
  <c r="CV72" i="2" s="1"/>
  <c r="BK55" i="2"/>
  <c r="CV55" i="2" s="1"/>
  <c r="CT29" i="2"/>
  <c r="BK18" i="2"/>
  <c r="BN18" i="2" s="1"/>
  <c r="CT63" i="2"/>
  <c r="CT25" i="2"/>
  <c r="BK36" i="2"/>
  <c r="BL36" i="2" s="1"/>
  <c r="BK63" i="2"/>
  <c r="BL63" i="2" s="1"/>
  <c r="CT18" i="2"/>
  <c r="CT88" i="2"/>
  <c r="CT62" i="2"/>
  <c r="CT82" i="2"/>
  <c r="BK56" i="2"/>
  <c r="CW56" i="2" s="1"/>
  <c r="CT60" i="2"/>
  <c r="CT14" i="2"/>
  <c r="CT73" i="2"/>
  <c r="BK73" i="2"/>
  <c r="BL73" i="2" s="1"/>
  <c r="BK98" i="2"/>
  <c r="BN98" i="2" s="1"/>
  <c r="BK16" i="2"/>
  <c r="CV16" i="2" s="1"/>
  <c r="CT9" i="2"/>
  <c r="BK61" i="2"/>
  <c r="CV61" i="2" s="1"/>
  <c r="CT75" i="2"/>
  <c r="CT80" i="2"/>
  <c r="BK45" i="2"/>
  <c r="BM45" i="2" s="1"/>
  <c r="CT47" i="2"/>
  <c r="BK8" i="2"/>
  <c r="BL8" i="2" s="1"/>
  <c r="BK68" i="2"/>
  <c r="BL68" i="2" s="1"/>
  <c r="CT37" i="2"/>
  <c r="CT24" i="2"/>
  <c r="BK40" i="2"/>
  <c r="CW40" i="2" s="1"/>
  <c r="BB5" i="2"/>
  <c r="CT72" i="2"/>
  <c r="CT5" i="2"/>
  <c r="BK53" i="2"/>
  <c r="CW53" i="2" s="1"/>
  <c r="BK50" i="2"/>
  <c r="CU50" i="2" s="1"/>
  <c r="BK32" i="2"/>
  <c r="BN32" i="2" s="1"/>
  <c r="BK27" i="2"/>
  <c r="CU27" i="2" s="1"/>
  <c r="CT78" i="2"/>
  <c r="BK79" i="2"/>
  <c r="BM79" i="2" s="1"/>
  <c r="BK93" i="2"/>
  <c r="CU93" i="2" s="1"/>
  <c r="BK67" i="2"/>
  <c r="CU67" i="2" s="1"/>
  <c r="CT92" i="2"/>
  <c r="CT12" i="2"/>
  <c r="CY30" i="2"/>
  <c r="BD30" i="2"/>
  <c r="DA30" i="2"/>
  <c r="BB30" i="2"/>
  <c r="CT97" i="2"/>
  <c r="BK19" i="2"/>
  <c r="BN19" i="2" s="1"/>
  <c r="BK69" i="2"/>
  <c r="CV69" i="2" s="1"/>
  <c r="CT15" i="2"/>
  <c r="CT87" i="2"/>
  <c r="BK59" i="2"/>
  <c r="CW59" i="2" s="1"/>
  <c r="BK83" i="2"/>
  <c r="CV83" i="2" s="1"/>
  <c r="BK23" i="2"/>
  <c r="BN23" i="2" s="1"/>
  <c r="BK48" i="2"/>
  <c r="CV48" i="2" s="1"/>
  <c r="BK30" i="2"/>
  <c r="BM30" i="2" s="1"/>
  <c r="CT30" i="2"/>
  <c r="CT7" i="2"/>
  <c r="BK17" i="2"/>
  <c r="CU17" i="2" s="1"/>
  <c r="BK38" i="2"/>
  <c r="BM38" i="2" s="1"/>
  <c r="CT91" i="2"/>
  <c r="CT11" i="2"/>
  <c r="CT40" i="2"/>
  <c r="BK15" i="2"/>
  <c r="BN15" i="2" s="1"/>
  <c r="CT96" i="2"/>
  <c r="BK90" i="2"/>
  <c r="BN90" i="2" s="1"/>
  <c r="BK81" i="2"/>
  <c r="BN81" i="2" s="1"/>
  <c r="CT71" i="2"/>
  <c r="CT57" i="2"/>
  <c r="BK39" i="2"/>
  <c r="CU39" i="2" s="1"/>
  <c r="CT84" i="2"/>
  <c r="BK97" i="2"/>
  <c r="CU97" i="2" s="1"/>
  <c r="CT33" i="2"/>
  <c r="CT13" i="2"/>
  <c r="CT52" i="2"/>
  <c r="CT67" i="2"/>
  <c r="CT17" i="2"/>
  <c r="CT26" i="2"/>
  <c r="CT46" i="2"/>
  <c r="BK82" i="2"/>
  <c r="CW82" i="2" s="1"/>
  <c r="BK60" i="2"/>
  <c r="BN60" i="2" s="1"/>
  <c r="BK34" i="2"/>
  <c r="CV34" i="2" s="1"/>
  <c r="BK13" i="2"/>
  <c r="BL13" i="2" s="1"/>
  <c r="CT6" i="2"/>
  <c r="CT10" i="2"/>
  <c r="BK33" i="2"/>
  <c r="BN33" i="2" s="1"/>
  <c r="BK99" i="2"/>
  <c r="BL99" i="2" s="1"/>
  <c r="BK62" i="2"/>
  <c r="CW62" i="2" s="1"/>
  <c r="BK70" i="2"/>
  <c r="CU70" i="2" s="1"/>
  <c r="CT27" i="2"/>
  <c r="CT70" i="2"/>
  <c r="CT23" i="2"/>
  <c r="CT68" i="2"/>
  <c r="BK54" i="2"/>
  <c r="BN54" i="2" s="1"/>
  <c r="CM30" i="2"/>
  <c r="DA28" i="2"/>
  <c r="DB28" i="2" s="1"/>
  <c r="BD28" i="2"/>
  <c r="BP28" i="2"/>
  <c r="BB28" i="2"/>
  <c r="BD29" i="2"/>
  <c r="BP29" i="2"/>
  <c r="DA29" i="2"/>
  <c r="BB29" i="2"/>
  <c r="BC29" i="2"/>
  <c r="CY31" i="2"/>
  <c r="CM31" i="2"/>
  <c r="CF31" i="2"/>
  <c r="BY31" i="2"/>
  <c r="CX31" i="2"/>
  <c r="CO14" i="2"/>
  <c r="CO9" i="2"/>
  <c r="CO34" i="2"/>
  <c r="BM86" i="2"/>
  <c r="CW86" i="2"/>
  <c r="BL86" i="2"/>
  <c r="BL94" i="2"/>
  <c r="BN21" i="2"/>
  <c r="CW21" i="2"/>
  <c r="CO8" i="2"/>
  <c r="CV74" i="2"/>
  <c r="DB23" i="2"/>
  <c r="DB21" i="2"/>
  <c r="CU40" i="2"/>
  <c r="BN65" i="2"/>
  <c r="BM28" i="2"/>
  <c r="BL28" i="2"/>
  <c r="DB22" i="2"/>
  <c r="CF23" i="2"/>
  <c r="CM23" i="2"/>
  <c r="CO23" i="2" s="1"/>
  <c r="CY23" i="2"/>
  <c r="CX23" i="2"/>
  <c r="BY23" i="2"/>
  <c r="CW71" i="2"/>
  <c r="BN4" i="2"/>
  <c r="CO10" i="2"/>
  <c r="BN51" i="2"/>
  <c r="CW15" i="2"/>
  <c r="CU90" i="2"/>
  <c r="BL34" i="2"/>
  <c r="BM62" i="2"/>
  <c r="CU60" i="2" l="1"/>
  <c r="CO35" i="2"/>
  <c r="CU84" i="2"/>
  <c r="CV98" i="2"/>
  <c r="BL5" i="2"/>
  <c r="CU42" i="2"/>
  <c r="CO33" i="2"/>
  <c r="CY27" i="2"/>
  <c r="BY27" i="2"/>
  <c r="CM27" i="2"/>
  <c r="CF27" i="2"/>
  <c r="CX27" i="2"/>
  <c r="CV20" i="2"/>
  <c r="BN8" i="2"/>
  <c r="CU55" i="2"/>
  <c r="CV31" i="2"/>
  <c r="CV37" i="2"/>
  <c r="BM11" i="2"/>
  <c r="CU24" i="2"/>
  <c r="BM73" i="2"/>
  <c r="CV29" i="2"/>
  <c r="CW72" i="2"/>
  <c r="CV87" i="2"/>
  <c r="CU59" i="2"/>
  <c r="BM89" i="2"/>
  <c r="CV41" i="2"/>
  <c r="CO4" i="2"/>
  <c r="BL43" i="2"/>
  <c r="BM76" i="2"/>
  <c r="CV77" i="2"/>
  <c r="BM26" i="2"/>
  <c r="BY19" i="2"/>
  <c r="CU28" i="2"/>
  <c r="CU20" i="2"/>
  <c r="CW84" i="2"/>
  <c r="BM53" i="2"/>
  <c r="CW8" i="2"/>
  <c r="CV5" i="2"/>
  <c r="BN11" i="2"/>
  <c r="CW24" i="2"/>
  <c r="BN86" i="2"/>
  <c r="DB26" i="2"/>
  <c r="BM7" i="2"/>
  <c r="BL31" i="2"/>
  <c r="CV28" i="2"/>
  <c r="CU77" i="2"/>
  <c r="CU37" i="2"/>
  <c r="BL40" i="2"/>
  <c r="BL57" i="2"/>
  <c r="CW74" i="2"/>
  <c r="CU80" i="2"/>
  <c r="CU86" i="2"/>
  <c r="BV20" i="2"/>
  <c r="CF19" i="2"/>
  <c r="CY19" i="2"/>
  <c r="DB10" i="2"/>
  <c r="DB11" i="2"/>
  <c r="BN62" i="2"/>
  <c r="CU82" i="2"/>
  <c r="BM15" i="2"/>
  <c r="BL29" i="2"/>
  <c r="CW43" i="2"/>
  <c r="BN92" i="2"/>
  <c r="CV64" i="2"/>
  <c r="BM65" i="2"/>
  <c r="BN87" i="2"/>
  <c r="BL61" i="2"/>
  <c r="CV56" i="2"/>
  <c r="BM59" i="2"/>
  <c r="BN95" i="2"/>
  <c r="CU41" i="2"/>
  <c r="BN7" i="2"/>
  <c r="CW99" i="2"/>
  <c r="CV97" i="2"/>
  <c r="BL38" i="2"/>
  <c r="BL35" i="2"/>
  <c r="BL66" i="2"/>
  <c r="CV92" i="2"/>
  <c r="BM88" i="2"/>
  <c r="BL20" i="2"/>
  <c r="BN20" i="2"/>
  <c r="CV6" i="2"/>
  <c r="CV67" i="2"/>
  <c r="CW61" i="2"/>
  <c r="CU56" i="2"/>
  <c r="CU19" i="2"/>
  <c r="CO16" i="2"/>
  <c r="BN89" i="2"/>
  <c r="CV75" i="2"/>
  <c r="BN41" i="2"/>
  <c r="BM41" i="2"/>
  <c r="CW7" i="2"/>
  <c r="BM35" i="2"/>
  <c r="CW66" i="2"/>
  <c r="BM58" i="2"/>
  <c r="CU72" i="2"/>
  <c r="BM96" i="2"/>
  <c r="CW88" i="2"/>
  <c r="CW20" i="2"/>
  <c r="CU6" i="2"/>
  <c r="BN27" i="2"/>
  <c r="CW30" i="2"/>
  <c r="CW78" i="2"/>
  <c r="BN75" i="2"/>
  <c r="CW41" i="2"/>
  <c r="CV54" i="2"/>
  <c r="BM51" i="2"/>
  <c r="BM25" i="2"/>
  <c r="BL16" i="2"/>
  <c r="CW23" i="2"/>
  <c r="BM21" i="2"/>
  <c r="BM70" i="2"/>
  <c r="BL91" i="2"/>
  <c r="BL14" i="2"/>
  <c r="CU31" i="2"/>
  <c r="BN28" i="2"/>
  <c r="BM47" i="2"/>
  <c r="BL84" i="2"/>
  <c r="BN53" i="2"/>
  <c r="CV40" i="2"/>
  <c r="BM8" i="2"/>
  <c r="CW98" i="2"/>
  <c r="CU83" i="2"/>
  <c r="CU69" i="2"/>
  <c r="BN5" i="2"/>
  <c r="BN57" i="2"/>
  <c r="BL11" i="2"/>
  <c r="BN55" i="2"/>
  <c r="CV21" i="2"/>
  <c r="BM80" i="2"/>
  <c r="BN10" i="2"/>
  <c r="BV35" i="2"/>
  <c r="DB27" i="2"/>
  <c r="BN70" i="2"/>
  <c r="CV33" i="2"/>
  <c r="CW44" i="2"/>
  <c r="CO7" i="2"/>
  <c r="CV71" i="2"/>
  <c r="BN31" i="2"/>
  <c r="BL47" i="2"/>
  <c r="BL37" i="2"/>
  <c r="BN79" i="2"/>
  <c r="BN40" i="2"/>
  <c r="CV8" i="2"/>
  <c r="BL98" i="2"/>
  <c r="BN83" i="2"/>
  <c r="BM46" i="2"/>
  <c r="CU74" i="2"/>
  <c r="BM55" i="2"/>
  <c r="BL21" i="2"/>
  <c r="BM94" i="2"/>
  <c r="BL80" i="2"/>
  <c r="BN24" i="2"/>
  <c r="BM22" i="2"/>
  <c r="BL62" i="2"/>
  <c r="CV82" i="2"/>
  <c r="BL97" i="2"/>
  <c r="CU29" i="2"/>
  <c r="CW29" i="2"/>
  <c r="CU43" i="2"/>
  <c r="CW76" i="2"/>
  <c r="BM87" i="2"/>
  <c r="BM6" i="2"/>
  <c r="BM61" i="2"/>
  <c r="BN73" i="2"/>
  <c r="BM56" i="2"/>
  <c r="CV30" i="2"/>
  <c r="CO18" i="2"/>
  <c r="BL7" i="2"/>
  <c r="CV62" i="2"/>
  <c r="BM82" i="2"/>
  <c r="BM97" i="2"/>
  <c r="CV81" i="2"/>
  <c r="CV15" i="2"/>
  <c r="CU38" i="2"/>
  <c r="BM29" i="2"/>
  <c r="CU35" i="2"/>
  <c r="BN35" i="2"/>
  <c r="BN43" i="2"/>
  <c r="BM66" i="2"/>
  <c r="BN66" i="2"/>
  <c r="BL76" i="2"/>
  <c r="CV76" i="2"/>
  <c r="BL92" i="2"/>
  <c r="BM4" i="2"/>
  <c r="CW4" i="2"/>
  <c r="CW64" i="2"/>
  <c r="BL64" i="2"/>
  <c r="BL72" i="2"/>
  <c r="BL88" i="2"/>
  <c r="BN88" i="2"/>
  <c r="CW65" i="2"/>
  <c r="BL87" i="2"/>
  <c r="CW6" i="2"/>
  <c r="CW77" i="2"/>
  <c r="BL67" i="2"/>
  <c r="BM27" i="2"/>
  <c r="BN61" i="2"/>
  <c r="CV73" i="2"/>
  <c r="CU73" i="2"/>
  <c r="BL56" i="2"/>
  <c r="CU30" i="2"/>
  <c r="BN59" i="2"/>
  <c r="CW19" i="2"/>
  <c r="BL19" i="2"/>
  <c r="BM95" i="2"/>
  <c r="CV95" i="2"/>
  <c r="CV89" i="2"/>
  <c r="BL42" i="2"/>
  <c r="CW42" i="2"/>
  <c r="CU75" i="2"/>
  <c r="BN82" i="2"/>
  <c r="BL15" i="2"/>
  <c r="BN38" i="2"/>
  <c r="CV43" i="2"/>
  <c r="CU76" i="2"/>
  <c r="CW92" i="2"/>
  <c r="CV4" i="2"/>
  <c r="BL4" i="2"/>
  <c r="BM64" i="2"/>
  <c r="CU64" i="2"/>
  <c r="BN72" i="2"/>
  <c r="CU65" i="2"/>
  <c r="BL65" i="2"/>
  <c r="CU87" i="2"/>
  <c r="BL6" i="2"/>
  <c r="BN67" i="2"/>
  <c r="BL27" i="2"/>
  <c r="CW73" i="2"/>
  <c r="BL59" i="2"/>
  <c r="BM19" i="2"/>
  <c r="CU95" i="2"/>
  <c r="BM42" i="2"/>
  <c r="CW75" i="2"/>
  <c r="CU62" i="2"/>
  <c r="BL82" i="2"/>
  <c r="BN97" i="2"/>
  <c r="CU15" i="2"/>
  <c r="CW38" i="2"/>
  <c r="CW35" i="2"/>
  <c r="CU66" i="2"/>
  <c r="BM92" i="2"/>
  <c r="CU4" i="2"/>
  <c r="BM72" i="2"/>
  <c r="CV88" i="2"/>
  <c r="BL77" i="2"/>
  <c r="BM67" i="2"/>
  <c r="CV27" i="2"/>
  <c r="CU61" i="2"/>
  <c r="BN56" i="2"/>
  <c r="BL30" i="2"/>
  <c r="CV59" i="2"/>
  <c r="CV19" i="2"/>
  <c r="CO19" i="2"/>
  <c r="BL95" i="2"/>
  <c r="CU89" i="2"/>
  <c r="CW89" i="2"/>
  <c r="CV42" i="2"/>
  <c r="BM75" i="2"/>
  <c r="BM33" i="2"/>
  <c r="BM90" i="2"/>
  <c r="BM91" i="2"/>
  <c r="CV44" i="2"/>
  <c r="CV25" i="2"/>
  <c r="BM14" i="2"/>
  <c r="CV14" i="2"/>
  <c r="CW16" i="2"/>
  <c r="BM36" i="2"/>
  <c r="BM49" i="2"/>
  <c r="CW94" i="2"/>
  <c r="CW10" i="2"/>
  <c r="CV22" i="2"/>
  <c r="BL54" i="2"/>
  <c r="CV70" i="2"/>
  <c r="CW34" i="2"/>
  <c r="CV60" i="2"/>
  <c r="BN39" i="2"/>
  <c r="CV51" i="2"/>
  <c r="CW91" i="2"/>
  <c r="CV91" i="2"/>
  <c r="CU44" i="2"/>
  <c r="BN44" i="2"/>
  <c r="BW19" i="2"/>
  <c r="CU71" i="2"/>
  <c r="CW25" i="2"/>
  <c r="BN14" i="2"/>
  <c r="BM31" i="2"/>
  <c r="CW47" i="2"/>
  <c r="CV84" i="2"/>
  <c r="BM37" i="2"/>
  <c r="CW37" i="2"/>
  <c r="BL50" i="2"/>
  <c r="CU53" i="2"/>
  <c r="BM40" i="2"/>
  <c r="BN68" i="2"/>
  <c r="CU8" i="2"/>
  <c r="BM16" i="2"/>
  <c r="BM98" i="2"/>
  <c r="CV36" i="2"/>
  <c r="BL83" i="2"/>
  <c r="BN69" i="2"/>
  <c r="BM5" i="2"/>
  <c r="CW5" i="2"/>
  <c r="CW57" i="2"/>
  <c r="CV57" i="2"/>
  <c r="CU11" i="2"/>
  <c r="CV11" i="2"/>
  <c r="BN74" i="2"/>
  <c r="BL55" i="2"/>
  <c r="CW55" i="2"/>
  <c r="BN94" i="2"/>
  <c r="BN80" i="2"/>
  <c r="BM24" i="2"/>
  <c r="CV10" i="2"/>
  <c r="CU22" i="2"/>
  <c r="CO5" i="2"/>
  <c r="CW39" i="2"/>
  <c r="BL51" i="2"/>
  <c r="CU91" i="2"/>
  <c r="AJ31" i="2"/>
  <c r="BM71" i="2"/>
  <c r="CU47" i="2"/>
  <c r="BL10" i="2"/>
  <c r="CU54" i="2"/>
  <c r="CW70" i="2"/>
  <c r="CW33" i="2"/>
  <c r="BM34" i="2"/>
  <c r="BM60" i="2"/>
  <c r="CU51" i="2"/>
  <c r="BL44" i="2"/>
  <c r="CO6" i="2"/>
  <c r="BV24" i="2"/>
  <c r="BW11" i="2"/>
  <c r="BN71" i="2"/>
  <c r="CW14" i="2"/>
  <c r="CV47" i="2"/>
  <c r="BN84" i="2"/>
  <c r="CW79" i="2"/>
  <c r="CV53" i="2"/>
  <c r="BL53" i="2"/>
  <c r="CV68" i="2"/>
  <c r="CU98" i="2"/>
  <c r="CW83" i="2"/>
  <c r="BL69" i="2"/>
  <c r="DB6" i="2"/>
  <c r="BM57" i="2"/>
  <c r="BL74" i="2"/>
  <c r="CU94" i="2"/>
  <c r="CV80" i="2"/>
  <c r="CV24" i="2"/>
  <c r="BM10" i="2"/>
  <c r="CW22" i="2"/>
  <c r="DB7" i="2"/>
  <c r="BW26" i="2"/>
  <c r="CO21" i="2"/>
  <c r="CO29" i="2"/>
  <c r="BW28" i="2"/>
  <c r="CV7" i="2"/>
  <c r="BL70" i="2"/>
  <c r="CU99" i="2"/>
  <c r="BM13" i="2"/>
  <c r="CW97" i="2"/>
  <c r="CV38" i="2"/>
  <c r="BV23" i="2"/>
  <c r="BW24" i="2"/>
  <c r="BW14" i="2"/>
  <c r="AJ4" i="2"/>
  <c r="BM77" i="2"/>
  <c r="BL85" i="2"/>
  <c r="CW67" i="2"/>
  <c r="CW27" i="2"/>
  <c r="BN30" i="2"/>
  <c r="BM83" i="2"/>
  <c r="CW69" i="2"/>
  <c r="BM69" i="2"/>
  <c r="CV9" i="2"/>
  <c r="DB17" i="2"/>
  <c r="DB18" i="2"/>
  <c r="BN13" i="2"/>
  <c r="AJ24" i="2"/>
  <c r="AK34" i="2"/>
  <c r="BV7" i="2"/>
  <c r="AJ35" i="2"/>
  <c r="BV9" i="2"/>
  <c r="BV11" i="2"/>
  <c r="BX11" i="2" s="1"/>
  <c r="BN93" i="2"/>
  <c r="CW45" i="2"/>
  <c r="BN63" i="2"/>
  <c r="BL52" i="2"/>
  <c r="BM17" i="2"/>
  <c r="BL58" i="2"/>
  <c r="AK4" i="2"/>
  <c r="AK24" i="2"/>
  <c r="AK35" i="2"/>
  <c r="AJ30" i="2"/>
  <c r="CV32" i="2"/>
  <c r="CW48" i="2"/>
  <c r="BL12" i="2"/>
  <c r="CU18" i="2"/>
  <c r="AK5" i="2"/>
  <c r="DB19" i="2"/>
  <c r="AJ22" i="2"/>
  <c r="AK6" i="2"/>
  <c r="AK8" i="2"/>
  <c r="BW35" i="2"/>
  <c r="BV19" i="2"/>
  <c r="BW27" i="2"/>
  <c r="CW93" i="2"/>
  <c r="BL45" i="2"/>
  <c r="CW18" i="2"/>
  <c r="CW50" i="2"/>
  <c r="CV50" i="2"/>
  <c r="CW49" i="2"/>
  <c r="CV49" i="2"/>
  <c r="BN46" i="2"/>
  <c r="CU46" i="2"/>
  <c r="CU25" i="2"/>
  <c r="BL25" i="2"/>
  <c r="CU81" i="2"/>
  <c r="BM81" i="2"/>
  <c r="AK7" i="2"/>
  <c r="BW7" i="2"/>
  <c r="BW5" i="2"/>
  <c r="BM9" i="2"/>
  <c r="BL9" i="2"/>
  <c r="BV4" i="2"/>
  <c r="AK30" i="2"/>
  <c r="AL30" i="2" s="1"/>
  <c r="BW16" i="2"/>
  <c r="BW20" i="2"/>
  <c r="BX20" i="2" s="1"/>
  <c r="AJ29" i="2"/>
  <c r="BW15" i="2"/>
  <c r="AK16" i="2"/>
  <c r="AJ13" i="2"/>
  <c r="BV6" i="2"/>
  <c r="AJ27" i="2"/>
  <c r="BV17" i="2"/>
  <c r="AK11" i="2"/>
  <c r="AJ20" i="2"/>
  <c r="AJ21" i="2"/>
  <c r="AJ8" i="2"/>
  <c r="BW17" i="2"/>
  <c r="AJ25" i="2"/>
  <c r="AJ23" i="2"/>
  <c r="AJ18" i="2"/>
  <c r="BV25" i="2"/>
  <c r="BV27" i="2"/>
  <c r="AK9" i="2"/>
  <c r="AJ16" i="2"/>
  <c r="AL16" i="2" s="1"/>
  <c r="AK20" i="2"/>
  <c r="AJ9" i="2"/>
  <c r="BW32" i="2"/>
  <c r="BV34" i="2"/>
  <c r="BV15" i="2"/>
  <c r="BW8" i="2"/>
  <c r="AK13" i="2"/>
  <c r="BM12" i="2"/>
  <c r="CU12" i="2"/>
  <c r="CW17" i="2"/>
  <c r="CU58" i="2"/>
  <c r="BW9" i="2"/>
  <c r="BV21" i="2"/>
  <c r="AK28" i="2"/>
  <c r="BV22" i="2"/>
  <c r="BW12" i="2"/>
  <c r="AK10" i="2"/>
  <c r="CV85" i="2"/>
  <c r="BM85" i="2"/>
  <c r="CU45" i="2"/>
  <c r="BN9" i="2"/>
  <c r="BL23" i="2"/>
  <c r="CV23" i="2"/>
  <c r="BM54" i="2"/>
  <c r="CW54" i="2"/>
  <c r="BM99" i="2"/>
  <c r="BL33" i="2"/>
  <c r="CU33" i="2"/>
  <c r="CV13" i="2"/>
  <c r="CU34" i="2"/>
  <c r="BM39" i="2"/>
  <c r="BL39" i="2"/>
  <c r="BL81" i="2"/>
  <c r="CV90" i="2"/>
  <c r="BN58" i="2"/>
  <c r="BW25" i="2"/>
  <c r="AK33" i="2"/>
  <c r="BW23" i="2"/>
  <c r="BW29" i="2"/>
  <c r="BW10" i="2"/>
  <c r="BV29" i="2"/>
  <c r="AK18" i="2"/>
  <c r="BV16" i="2"/>
  <c r="AK12" i="2"/>
  <c r="BV13" i="2"/>
  <c r="BV14" i="2"/>
  <c r="BX14" i="2" s="1"/>
  <c r="BV28" i="2"/>
  <c r="BV18" i="2"/>
  <c r="AJ26" i="2"/>
  <c r="AJ28" i="2"/>
  <c r="AL28" i="2" s="1"/>
  <c r="BW33" i="2"/>
  <c r="AK29" i="2"/>
  <c r="BV26" i="2"/>
  <c r="AJ33" i="2"/>
  <c r="AK17" i="2"/>
  <c r="AJ14" i="2"/>
  <c r="AJ10" i="2"/>
  <c r="AL10" i="2" s="1"/>
  <c r="AJ34" i="2"/>
  <c r="BW30" i="2"/>
  <c r="AJ5" i="2"/>
  <c r="AL5" i="2" s="1"/>
  <c r="CU85" i="2"/>
  <c r="CV79" i="2"/>
  <c r="BL79" i="2"/>
  <c r="CW32" i="2"/>
  <c r="BN50" i="2"/>
  <c r="BM68" i="2"/>
  <c r="CU68" i="2"/>
  <c r="BN45" i="2"/>
  <c r="CU16" i="2"/>
  <c r="CW36" i="2"/>
  <c r="BN48" i="2"/>
  <c r="BM48" i="2"/>
  <c r="CU23" i="2"/>
  <c r="CV46" i="2"/>
  <c r="CU26" i="2"/>
  <c r="CU9" i="2"/>
  <c r="BN12" i="2"/>
  <c r="CV18" i="2"/>
  <c r="BM18" i="2"/>
  <c r="CU49" i="2"/>
  <c r="BL60" i="2"/>
  <c r="CW60" i="2"/>
  <c r="BL17" i="2"/>
  <c r="BN17" i="2"/>
  <c r="BL93" i="2"/>
  <c r="CV93" i="2"/>
  <c r="CW63" i="2"/>
  <c r="CV63" i="2"/>
  <c r="BL96" i="2"/>
  <c r="BN96" i="2"/>
  <c r="CU78" i="2"/>
  <c r="BM78" i="2"/>
  <c r="CW52" i="2"/>
  <c r="BM52" i="2"/>
  <c r="BN99" i="2"/>
  <c r="CU13" i="2"/>
  <c r="AK26" i="2"/>
  <c r="AL26" i="2" s="1"/>
  <c r="AJ6" i="2"/>
  <c r="BW4" i="2"/>
  <c r="BV10" i="2"/>
  <c r="BX10" i="2" s="1"/>
  <c r="AJ32" i="2"/>
  <c r="BV33" i="2"/>
  <c r="AK27" i="2"/>
  <c r="BW6" i="2"/>
  <c r="AK19" i="2"/>
  <c r="AJ17" i="2"/>
  <c r="BW13" i="2"/>
  <c r="AK14" i="2"/>
  <c r="CV96" i="2"/>
  <c r="CU32" i="2"/>
  <c r="BM32" i="2"/>
  <c r="BM63" i="2"/>
  <c r="BL48" i="2"/>
  <c r="CW26" i="2"/>
  <c r="BL78" i="2"/>
  <c r="CU52" i="2"/>
  <c r="AJ7" i="2"/>
  <c r="AL7" i="2" s="1"/>
  <c r="CV99" i="2"/>
  <c r="CW13" i="2"/>
  <c r="BN34" i="2"/>
  <c r="CV39" i="2"/>
  <c r="CW81" i="2"/>
  <c r="CW90" i="2"/>
  <c r="BL90" i="2"/>
  <c r="CV17" i="2"/>
  <c r="CW58" i="2"/>
  <c r="BV8" i="2"/>
  <c r="BW22" i="2"/>
  <c r="BV12" i="2"/>
  <c r="AJ11" i="2"/>
  <c r="BV32" i="2"/>
  <c r="BX32" i="2" s="1"/>
  <c r="BV31" i="2"/>
  <c r="BW18" i="2"/>
  <c r="BV30" i="2"/>
  <c r="BW34" i="2"/>
  <c r="AK31" i="2"/>
  <c r="AL31" i="2" s="1"/>
  <c r="AK25" i="2"/>
  <c r="AK32" i="2"/>
  <c r="AK15" i="2"/>
  <c r="AJ12" i="2"/>
  <c r="AL12" i="2" s="1"/>
  <c r="AJ19" i="2"/>
  <c r="AL19" i="2" s="1"/>
  <c r="AK23" i="2"/>
  <c r="BW31" i="2"/>
  <c r="BW21" i="2"/>
  <c r="AK21" i="2"/>
  <c r="AJ15" i="2"/>
  <c r="CW96" i="2"/>
  <c r="CW85" i="2"/>
  <c r="BM93" i="2"/>
  <c r="CU79" i="2"/>
  <c r="BL32" i="2"/>
  <c r="BM50" i="2"/>
  <c r="CW68" i="2"/>
  <c r="CV45" i="2"/>
  <c r="BN16" i="2"/>
  <c r="CU63" i="2"/>
  <c r="CU36" i="2"/>
  <c r="BN36" i="2"/>
  <c r="CU48" i="2"/>
  <c r="BM23" i="2"/>
  <c r="BL46" i="2"/>
  <c r="CV26" i="2"/>
  <c r="BN26" i="2"/>
  <c r="CW9" i="2"/>
  <c r="BN78" i="2"/>
  <c r="CV12" i="2"/>
  <c r="CV52" i="2"/>
  <c r="BL18" i="2"/>
  <c r="BN49" i="2"/>
  <c r="BV5" i="2"/>
  <c r="AK22" i="2"/>
  <c r="BN22" i="2"/>
  <c r="CO22" i="2"/>
  <c r="CO31" i="2"/>
  <c r="CO30" i="2"/>
  <c r="DB31" i="2"/>
  <c r="DB29" i="2"/>
  <c r="DB30" i="2"/>
  <c r="CO28" i="2"/>
  <c r="BX9" i="2"/>
  <c r="CO20" i="2"/>
  <c r="CO26" i="2" l="1"/>
  <c r="CO24" i="2"/>
  <c r="CO25" i="2"/>
  <c r="CO27" i="2"/>
  <c r="BZ28" i="2"/>
  <c r="AL29" i="2"/>
  <c r="BX23" i="2"/>
  <c r="AL14" i="2"/>
  <c r="BX35" i="2"/>
  <c r="BX13" i="2"/>
  <c r="BX28" i="2"/>
  <c r="BX29" i="2"/>
  <c r="AL13" i="2"/>
  <c r="CC20" i="2"/>
  <c r="CJ20" i="2" s="1"/>
  <c r="AL18" i="2"/>
  <c r="AR10" i="2"/>
  <c r="AY10" i="2" s="1"/>
  <c r="BX18" i="2"/>
  <c r="BX12" i="2"/>
  <c r="CD8" i="2"/>
  <c r="CK8" i="2" s="1"/>
  <c r="BX25" i="2"/>
  <c r="BX17" i="2"/>
  <c r="AL24" i="2"/>
  <c r="BX24" i="2"/>
  <c r="AG29" i="2"/>
  <c r="BX34" i="2"/>
  <c r="BX16" i="2"/>
  <c r="AL23" i="2"/>
  <c r="AL6" i="2"/>
  <c r="AL35" i="2"/>
  <c r="AL4" i="2"/>
  <c r="BZ4" i="2"/>
  <c r="CD10" i="2"/>
  <c r="CK10" i="2" s="1"/>
  <c r="BT16" i="2"/>
  <c r="AQ18" i="2"/>
  <c r="AL15" i="2"/>
  <c r="AL11" i="2"/>
  <c r="AL34" i="2"/>
  <c r="AL33" i="2"/>
  <c r="AL20" i="2"/>
  <c r="BX6" i="2"/>
  <c r="AG26" i="2"/>
  <c r="AN32" i="2"/>
  <c r="CA27" i="2"/>
  <c r="AR5" i="2"/>
  <c r="AY5" i="2" s="1"/>
  <c r="BX4" i="2"/>
  <c r="BX19" i="2"/>
  <c r="AL22" i="2"/>
  <c r="AR29" i="2"/>
  <c r="AY29" i="2" s="1"/>
  <c r="AR26" i="2"/>
  <c r="AY26" i="2" s="1"/>
  <c r="BZ24" i="2"/>
  <c r="CA30" i="2"/>
  <c r="CC17" i="2"/>
  <c r="CB19" i="2"/>
  <c r="AO27" i="2"/>
  <c r="AG9" i="2"/>
  <c r="AG17" i="2"/>
  <c r="AL32" i="2"/>
  <c r="BX26" i="2"/>
  <c r="AO24" i="2"/>
  <c r="AN26" i="2"/>
  <c r="AR13" i="2"/>
  <c r="AY13" i="2" s="1"/>
  <c r="AQ16" i="2"/>
  <c r="BX27" i="2"/>
  <c r="BS4" i="2"/>
  <c r="BX7" i="2"/>
  <c r="AQ12" i="2"/>
  <c r="AX12" i="2" s="1"/>
  <c r="CB7" i="2"/>
  <c r="AP19" i="2"/>
  <c r="CD26" i="2"/>
  <c r="CK26" i="2" s="1"/>
  <c r="AO20" i="2"/>
  <c r="AP31" i="2"/>
  <c r="CA23" i="2"/>
  <c r="CA35" i="2"/>
  <c r="BX31" i="2"/>
  <c r="BX22" i="2"/>
  <c r="AQ22" i="2"/>
  <c r="AX22" i="2" s="1"/>
  <c r="BS27" i="2"/>
  <c r="CB20" i="2"/>
  <c r="AQ8" i="2"/>
  <c r="AX8" i="2" s="1"/>
  <c r="BZ14" i="2"/>
  <c r="CA25" i="2"/>
  <c r="BZ17" i="2"/>
  <c r="CC28" i="2"/>
  <c r="CJ28" i="2" s="1"/>
  <c r="CB33" i="2"/>
  <c r="CB30" i="2"/>
  <c r="AN23" i="2"/>
  <c r="AQ21" i="2"/>
  <c r="AX21" i="2" s="1"/>
  <c r="CD9" i="2"/>
  <c r="CK9" i="2" s="1"/>
  <c r="AN29" i="2"/>
  <c r="AN11" i="2"/>
  <c r="AN15" i="2"/>
  <c r="AN25" i="2"/>
  <c r="BZ35" i="2"/>
  <c r="CD6" i="2"/>
  <c r="CK6" i="2" s="1"/>
  <c r="AP4" i="2"/>
  <c r="AR30" i="2"/>
  <c r="AY30" i="2" s="1"/>
  <c r="AO5" i="2"/>
  <c r="BZ34" i="2"/>
  <c r="BU32" i="2"/>
  <c r="BU5" i="2"/>
  <c r="BU27" i="2"/>
  <c r="AI19" i="2"/>
  <c r="BX8" i="2"/>
  <c r="CA12" i="2"/>
  <c r="CA24" i="2"/>
  <c r="AN14" i="2"/>
  <c r="BZ5" i="2"/>
  <c r="CC14" i="2"/>
  <c r="CJ14" i="2" s="1"/>
  <c r="CB15" i="2"/>
  <c r="AR35" i="2"/>
  <c r="AY35" i="2" s="1"/>
  <c r="AN31" i="2"/>
  <c r="AP10" i="2"/>
  <c r="AN35" i="2"/>
  <c r="CC32" i="2"/>
  <c r="CA15" i="2"/>
  <c r="AO10" i="2"/>
  <c r="AP33" i="2"/>
  <c r="AQ14" i="2"/>
  <c r="AG33" i="2"/>
  <c r="BS5" i="2"/>
  <c r="BT20" i="2"/>
  <c r="AH26" i="2"/>
  <c r="AG13" i="2"/>
  <c r="AL8" i="2"/>
  <c r="CB35" i="2"/>
  <c r="CD32" i="2"/>
  <c r="CK32" i="2" s="1"/>
  <c r="AN7" i="2"/>
  <c r="AR7" i="2"/>
  <c r="AY7" i="2" s="1"/>
  <c r="BZ23" i="2"/>
  <c r="AR22" i="2"/>
  <c r="AY22" i="2" s="1"/>
  <c r="AQ33" i="2"/>
  <c r="AX33" i="2" s="1"/>
  <c r="CA17" i="2"/>
  <c r="CA9" i="2"/>
  <c r="AR12" i="2"/>
  <c r="AY12" i="2" s="1"/>
  <c r="CB14" i="2"/>
  <c r="AP20" i="2"/>
  <c r="CB26" i="2"/>
  <c r="CC34" i="2"/>
  <c r="AQ32" i="2"/>
  <c r="BS30" i="2"/>
  <c r="AI18" i="2"/>
  <c r="AG35" i="2"/>
  <c r="BT6" i="2"/>
  <c r="AI34" i="2"/>
  <c r="AL25" i="2"/>
  <c r="AI31" i="2"/>
  <c r="AQ10" i="2"/>
  <c r="AL27" i="2"/>
  <c r="BX5" i="2"/>
  <c r="AH35" i="2"/>
  <c r="AG6" i="2"/>
  <c r="BS28" i="2"/>
  <c r="BS33" i="2"/>
  <c r="BT26" i="2"/>
  <c r="AQ9" i="2"/>
  <c r="AX9" i="2" s="1"/>
  <c r="AN6" i="2"/>
  <c r="AO30" i="2"/>
  <c r="AQ35" i="2"/>
  <c r="AX35" i="2" s="1"/>
  <c r="AP15" i="2"/>
  <c r="CB12" i="2"/>
  <c r="AO9" i="2"/>
  <c r="CD31" i="2"/>
  <c r="CK31" i="2" s="1"/>
  <c r="AR32" i="2"/>
  <c r="AY32" i="2" s="1"/>
  <c r="CD12" i="2"/>
  <c r="CK12" i="2" s="1"/>
  <c r="AQ26" i="2"/>
  <c r="AX26" i="2" s="1"/>
  <c r="AQ27" i="2"/>
  <c r="AX27" i="2" s="1"/>
  <c r="AR15" i="2"/>
  <c r="AY15" i="2" s="1"/>
  <c r="CA18" i="2"/>
  <c r="CB31" i="2"/>
  <c r="AQ7" i="2"/>
  <c r="AX7" i="2" s="1"/>
  <c r="CA31" i="2"/>
  <c r="AP34" i="2"/>
  <c r="AO11" i="2"/>
  <c r="BZ13" i="2"/>
  <c r="CB34" i="2"/>
  <c r="AN27" i="2"/>
  <c r="CB17" i="2"/>
  <c r="CC24" i="2"/>
  <c r="CJ24" i="2" s="1"/>
  <c r="AP29" i="2"/>
  <c r="AP11" i="2"/>
  <c r="BZ29" i="2"/>
  <c r="CD7" i="2"/>
  <c r="CK7" i="2" s="1"/>
  <c r="CC12" i="2"/>
  <c r="CJ12" i="2" s="1"/>
  <c r="BZ27" i="2"/>
  <c r="AQ17" i="2"/>
  <c r="AX17" i="2" s="1"/>
  <c r="AP12" i="2"/>
  <c r="CB5" i="2"/>
  <c r="AO23" i="2"/>
  <c r="AR19" i="2"/>
  <c r="AY19" i="2" s="1"/>
  <c r="AO13" i="2"/>
  <c r="AN9" i="2"/>
  <c r="AO6" i="2"/>
  <c r="AP5" i="2"/>
  <c r="AO25" i="2"/>
  <c r="AH10" i="2"/>
  <c r="BT14" i="2"/>
  <c r="AI21" i="2"/>
  <c r="BT30" i="2"/>
  <c r="BT15" i="2"/>
  <c r="CH15" i="2" s="1"/>
  <c r="BS23" i="2"/>
  <c r="BT7" i="2"/>
  <c r="AG8" i="2"/>
  <c r="BU20" i="2"/>
  <c r="BU23" i="2"/>
  <c r="AH6" i="2"/>
  <c r="AI8" i="2"/>
  <c r="AH24" i="2"/>
  <c r="AV24" i="2" s="1"/>
  <c r="BU34" i="2"/>
  <c r="AH28" i="2"/>
  <c r="AI15" i="2"/>
  <c r="AH30" i="2"/>
  <c r="AH25" i="2"/>
  <c r="AH8" i="2"/>
  <c r="AI11" i="2"/>
  <c r="AI5" i="2"/>
  <c r="BS24" i="2"/>
  <c r="BT24" i="2"/>
  <c r="CH24" i="2" s="1"/>
  <c r="AI29" i="2"/>
  <c r="AG14" i="2"/>
  <c r="BU31" i="2"/>
  <c r="BU33" i="2"/>
  <c r="AG31" i="2"/>
  <c r="BU19" i="2"/>
  <c r="AI26" i="2"/>
  <c r="AH32" i="2"/>
  <c r="BU12" i="2"/>
  <c r="AI16" i="2"/>
  <c r="BS22" i="2"/>
  <c r="BT31" i="2"/>
  <c r="AH14" i="2"/>
  <c r="BU35" i="2"/>
  <c r="BU15" i="2"/>
  <c r="BS25" i="2"/>
  <c r="BT22" i="2"/>
  <c r="AG11" i="2"/>
  <c r="AG20" i="2"/>
  <c r="AH13" i="2"/>
  <c r="AG22" i="2"/>
  <c r="AI27" i="2"/>
  <c r="AH29" i="2"/>
  <c r="AM29" i="2" s="1"/>
  <c r="BT35" i="2"/>
  <c r="CH35" i="2" s="1"/>
  <c r="BU11" i="2"/>
  <c r="AI23" i="2"/>
  <c r="BT27" i="2"/>
  <c r="AG32" i="2"/>
  <c r="AM32" i="2" s="1"/>
  <c r="BT28" i="2"/>
  <c r="AH9" i="2"/>
  <c r="AV9" i="2" s="1"/>
  <c r="CB11" i="2"/>
  <c r="BZ20" i="2"/>
  <c r="AP18" i="2"/>
  <c r="CA7" i="2"/>
  <c r="AO29" i="2"/>
  <c r="CB23" i="2"/>
  <c r="AO34" i="2"/>
  <c r="BZ12" i="2"/>
  <c r="CB9" i="2"/>
  <c r="AN20" i="2"/>
  <c r="AO15" i="2"/>
  <c r="AO19" i="2"/>
  <c r="CA28" i="2"/>
  <c r="AP23" i="2"/>
  <c r="BZ8" i="2"/>
  <c r="BZ18" i="2"/>
  <c r="CA4" i="2"/>
  <c r="AN28" i="2"/>
  <c r="AP17" i="2"/>
  <c r="AP32" i="2"/>
  <c r="AP6" i="2"/>
  <c r="AO4" i="2"/>
  <c r="AN22" i="2"/>
  <c r="AO7" i="2"/>
  <c r="CA16" i="2"/>
  <c r="CB32" i="2"/>
  <c r="BZ25" i="2"/>
  <c r="BZ33" i="2"/>
  <c r="BZ7" i="2"/>
  <c r="AP9" i="2"/>
  <c r="AO35" i="2"/>
  <c r="AN13" i="2"/>
  <c r="BZ19" i="2"/>
  <c r="AN4" i="2"/>
  <c r="AT4" i="2" s="1"/>
  <c r="CA33" i="2"/>
  <c r="AP28" i="2"/>
  <c r="AO32" i="2"/>
  <c r="AO12" i="2"/>
  <c r="AP24" i="2"/>
  <c r="AP22" i="2"/>
  <c r="CB13" i="2"/>
  <c r="AN19" i="2"/>
  <c r="AP27" i="2"/>
  <c r="AP13" i="2"/>
  <c r="AO26" i="2"/>
  <c r="AP21" i="2"/>
  <c r="AW21" i="2" s="1"/>
  <c r="CB6" i="2"/>
  <c r="BZ32" i="2"/>
  <c r="AN8" i="2"/>
  <c r="AN24" i="2"/>
  <c r="CB21" i="2"/>
  <c r="CA8" i="2"/>
  <c r="AN33" i="2"/>
  <c r="BZ16" i="2"/>
  <c r="AN12" i="2"/>
  <c r="CA22" i="2"/>
  <c r="CB10" i="2"/>
  <c r="CA20" i="2"/>
  <c r="AP26" i="2"/>
  <c r="AO22" i="2"/>
  <c r="CB28" i="2"/>
  <c r="CB27" i="2"/>
  <c r="AO18" i="2"/>
  <c r="BZ6" i="2"/>
  <c r="AI13" i="2"/>
  <c r="AH4" i="2"/>
  <c r="AV4" i="2" s="1"/>
  <c r="BS8" i="2"/>
  <c r="CG8" i="2" s="1"/>
  <c r="AI7" i="2"/>
  <c r="AG34" i="2"/>
  <c r="BU21" i="2"/>
  <c r="AH18" i="2"/>
  <c r="AV18" i="2" s="1"/>
  <c r="BS12" i="2"/>
  <c r="CG12" i="2" s="1"/>
  <c r="BU6" i="2"/>
  <c r="AH27" i="2"/>
  <c r="AG10" i="2"/>
  <c r="AG19" i="2"/>
  <c r="BT9" i="2"/>
  <c r="BT5" i="2"/>
  <c r="BS26" i="2"/>
  <c r="BU7" i="2"/>
  <c r="CI7" i="2" s="1"/>
  <c r="AI24" i="2"/>
  <c r="AI33" i="2"/>
  <c r="AI30" i="2"/>
  <c r="AG4" i="2"/>
  <c r="BU4" i="2"/>
  <c r="BS34" i="2"/>
  <c r="BU16" i="2"/>
  <c r="BU29" i="2"/>
  <c r="BS35" i="2"/>
  <c r="BS18" i="2"/>
  <c r="BS7" i="2"/>
  <c r="BT29" i="2"/>
  <c r="AH31" i="2"/>
  <c r="AH17" i="2"/>
  <c r="AG28" i="2"/>
  <c r="AH15" i="2"/>
  <c r="BT19" i="2"/>
  <c r="BS6" i="2"/>
  <c r="BT21" i="2"/>
  <c r="AI32" i="2"/>
  <c r="AW32" i="2" s="1"/>
  <c r="AH33" i="2"/>
  <c r="AI25" i="2"/>
  <c r="AG23" i="2"/>
  <c r="AU23" i="2" s="1"/>
  <c r="BS32" i="2"/>
  <c r="CG32" i="2" s="1"/>
  <c r="BU8" i="2"/>
  <c r="AG24" i="2"/>
  <c r="BT4" i="2"/>
  <c r="AI22" i="2"/>
  <c r="AW22" i="2" s="1"/>
  <c r="AG25" i="2"/>
  <c r="AM25" i="2" s="1"/>
  <c r="BS31" i="2"/>
  <c r="AH19" i="2"/>
  <c r="AI9" i="2"/>
  <c r="AO8" i="2"/>
  <c r="CB25" i="2"/>
  <c r="CA26" i="2"/>
  <c r="AO28" i="2"/>
  <c r="BZ9" i="2"/>
  <c r="CA34" i="2"/>
  <c r="AO31" i="2"/>
  <c r="CB18" i="2"/>
  <c r="AP7" i="2"/>
  <c r="CB24" i="2"/>
  <c r="BZ30" i="2"/>
  <c r="CA29" i="2"/>
  <c r="AN10" i="2"/>
  <c r="AT10" i="2" s="1"/>
  <c r="AO17" i="2"/>
  <c r="AI35" i="2"/>
  <c r="BU30" i="2"/>
  <c r="AH7" i="2"/>
  <c r="AG15" i="2"/>
  <c r="BT33" i="2"/>
  <c r="CH33" i="2" s="1"/>
  <c r="BT13" i="2"/>
  <c r="CH13" i="2" s="1"/>
  <c r="BT32" i="2"/>
  <c r="BS21" i="2"/>
  <c r="AG30" i="2"/>
  <c r="BS20" i="2"/>
  <c r="AG18" i="2"/>
  <c r="AG21" i="2"/>
  <c r="AI17" i="2"/>
  <c r="AI6" i="2"/>
  <c r="AH34" i="2"/>
  <c r="AI20" i="2"/>
  <c r="BS15" i="2"/>
  <c r="AI28" i="2"/>
  <c r="AW28" i="2" s="1"/>
  <c r="BS9" i="2"/>
  <c r="CG9" i="2" s="1"/>
  <c r="BU26" i="2"/>
  <c r="CI26" i="2" s="1"/>
  <c r="BS10" i="2"/>
  <c r="BU24" i="2"/>
  <c r="AI12" i="2"/>
  <c r="BT18" i="2"/>
  <c r="AI14" i="2"/>
  <c r="BS19" i="2"/>
  <c r="AH21" i="2"/>
  <c r="AH23" i="2"/>
  <c r="AH22" i="2"/>
  <c r="BU17" i="2"/>
  <c r="AI10" i="2"/>
  <c r="AW10" i="2" s="1"/>
  <c r="BU22" i="2"/>
  <c r="AI4" i="2"/>
  <c r="BT25" i="2"/>
  <c r="AH12" i="2"/>
  <c r="BT10" i="2"/>
  <c r="AG7" i="2"/>
  <c r="AG27" i="2"/>
  <c r="BT8" i="2"/>
  <c r="BU9" i="2"/>
  <c r="AH16" i="2"/>
  <c r="BU14" i="2"/>
  <c r="CI14" i="2" s="1"/>
  <c r="BU25" i="2"/>
  <c r="BU13" i="2"/>
  <c r="BT23" i="2"/>
  <c r="BS11" i="2"/>
  <c r="BS14" i="2"/>
  <c r="CG14" i="2" s="1"/>
  <c r="CA14" i="2"/>
  <c r="AP16" i="2"/>
  <c r="AP35" i="2"/>
  <c r="AN30" i="2"/>
  <c r="BZ26" i="2"/>
  <c r="CA5" i="2"/>
  <c r="BZ10" i="2"/>
  <c r="AN21" i="2"/>
  <c r="CA21" i="2"/>
  <c r="BZ31" i="2"/>
  <c r="AP14" i="2"/>
  <c r="AN17" i="2"/>
  <c r="AU17" i="2" s="1"/>
  <c r="CB22" i="2"/>
  <c r="AO21" i="2"/>
  <c r="AO14" i="2"/>
  <c r="AN34" i="2"/>
  <c r="CD16" i="2"/>
  <c r="CK16" i="2" s="1"/>
  <c r="AQ28" i="2"/>
  <c r="AX28" i="2" s="1"/>
  <c r="AR24" i="2"/>
  <c r="AY24" i="2" s="1"/>
  <c r="CC18" i="2"/>
  <c r="CJ18" i="2" s="1"/>
  <c r="CD21" i="2"/>
  <c r="CK21" i="2" s="1"/>
  <c r="CC9" i="2"/>
  <c r="CJ9" i="2" s="1"/>
  <c r="CC35" i="2"/>
  <c r="AR4" i="2"/>
  <c r="AY4" i="2" s="1"/>
  <c r="CC25" i="2"/>
  <c r="CJ25" i="2" s="1"/>
  <c r="CC15" i="2"/>
  <c r="CJ15" i="2" s="1"/>
  <c r="AR16" i="2"/>
  <c r="AY16" i="2" s="1"/>
  <c r="AQ29" i="2"/>
  <c r="AS29" i="2" s="1"/>
  <c r="AZ29" i="2" s="1"/>
  <c r="AQ23" i="2"/>
  <c r="AX23" i="2" s="1"/>
  <c r="AR23" i="2"/>
  <c r="AY23" i="2" s="1"/>
  <c r="CC6" i="2"/>
  <c r="CC8" i="2"/>
  <c r="CJ8" i="2" s="1"/>
  <c r="AQ34" i="2"/>
  <c r="AX34" i="2" s="1"/>
  <c r="CD27" i="2"/>
  <c r="CK27" i="2" s="1"/>
  <c r="AR21" i="2"/>
  <c r="AY21" i="2" s="1"/>
  <c r="CD17" i="2"/>
  <c r="CK17" i="2" s="1"/>
  <c r="AR17" i="2"/>
  <c r="AY17" i="2" s="1"/>
  <c r="CD4" i="2"/>
  <c r="CK4" i="2" s="1"/>
  <c r="CD18" i="2"/>
  <c r="CK18" i="2" s="1"/>
  <c r="CC31" i="2"/>
  <c r="CJ31" i="2" s="1"/>
  <c r="CC21" i="2"/>
  <c r="CE21" i="2" s="1"/>
  <c r="CD15" i="2"/>
  <c r="CK15" i="2" s="1"/>
  <c r="CD13" i="2"/>
  <c r="CK13" i="2" s="1"/>
  <c r="AQ25" i="2"/>
  <c r="CD29" i="2"/>
  <c r="CK29" i="2" s="1"/>
  <c r="CC5" i="2"/>
  <c r="CC7" i="2"/>
  <c r="CJ7" i="2" s="1"/>
  <c r="AR20" i="2"/>
  <c r="AY20" i="2" s="1"/>
  <c r="AQ24" i="2"/>
  <c r="AX24" i="2" s="1"/>
  <c r="AQ31" i="2"/>
  <c r="AX31" i="2" s="1"/>
  <c r="AR31" i="2"/>
  <c r="AY31" i="2" s="1"/>
  <c r="AQ19" i="2"/>
  <c r="AQ15" i="2"/>
  <c r="AX15" i="2" s="1"/>
  <c r="AR18" i="2"/>
  <c r="AY18" i="2" s="1"/>
  <c r="CD19" i="2"/>
  <c r="CK19" i="2" s="1"/>
  <c r="CD33" i="2"/>
  <c r="CK33" i="2" s="1"/>
  <c r="AQ5" i="2"/>
  <c r="CD11" i="2"/>
  <c r="CK11" i="2" s="1"/>
  <c r="AQ13" i="2"/>
  <c r="AX13" i="2" s="1"/>
  <c r="AQ30" i="2"/>
  <c r="AS30" i="2" s="1"/>
  <c r="AZ30" i="2" s="1"/>
  <c r="CC16" i="2"/>
  <c r="CJ16" i="2" s="1"/>
  <c r="CC27" i="2"/>
  <c r="CE27" i="2" s="1"/>
  <c r="AR14" i="2"/>
  <c r="AY14" i="2" s="1"/>
  <c r="AR25" i="2"/>
  <c r="AY25" i="2" s="1"/>
  <c r="AR33" i="2"/>
  <c r="AY33" i="2" s="1"/>
  <c r="CC29" i="2"/>
  <c r="CJ29" i="2" s="1"/>
  <c r="CC11" i="2"/>
  <c r="CJ11" i="2" s="1"/>
  <c r="AR6" i="2"/>
  <c r="AY6" i="2" s="1"/>
  <c r="CD24" i="2"/>
  <c r="CK24" i="2" s="1"/>
  <c r="CD22" i="2"/>
  <c r="CK22" i="2" s="1"/>
  <c r="CC22" i="2"/>
  <c r="CJ22" i="2" s="1"/>
  <c r="CD28" i="2"/>
  <c r="CK28" i="2" s="1"/>
  <c r="CC19" i="2"/>
  <c r="CJ19" i="2" s="1"/>
  <c r="CD30" i="2"/>
  <c r="CK30" i="2" s="1"/>
  <c r="AR28" i="2"/>
  <c r="AY28" i="2" s="1"/>
  <c r="CD14" i="2"/>
  <c r="CK14" i="2" s="1"/>
  <c r="AQ6" i="2"/>
  <c r="AX6" i="2" s="1"/>
  <c r="AR9" i="2"/>
  <c r="AY9" i="2" s="1"/>
  <c r="CD25" i="2"/>
  <c r="CK25" i="2" s="1"/>
  <c r="CD23" i="2"/>
  <c r="CK23" i="2" s="1"/>
  <c r="AL21" i="2"/>
  <c r="AR34" i="2"/>
  <c r="AY34" i="2" s="1"/>
  <c r="BZ21" i="2"/>
  <c r="CC10" i="2"/>
  <c r="CE10" i="2" s="1"/>
  <c r="CL10" i="2" s="1"/>
  <c r="CC13" i="2"/>
  <c r="CB4" i="2"/>
  <c r="AO33" i="2"/>
  <c r="AR27" i="2"/>
  <c r="AY27" i="2" s="1"/>
  <c r="CD5" i="2"/>
  <c r="CK5" i="2" s="1"/>
  <c r="CD20" i="2"/>
  <c r="CK20" i="2" s="1"/>
  <c r="AO16" i="2"/>
  <c r="AN16" i="2"/>
  <c r="AN5" i="2"/>
  <c r="AN18" i="2"/>
  <c r="AP8" i="2"/>
  <c r="AQ4" i="2"/>
  <c r="AX4" i="2" s="1"/>
  <c r="CD34" i="2"/>
  <c r="CK34" i="2" s="1"/>
  <c r="AP25" i="2"/>
  <c r="CC26" i="2"/>
  <c r="BZ11" i="2"/>
  <c r="CC30" i="2"/>
  <c r="CJ30" i="2" s="1"/>
  <c r="CA32" i="2"/>
  <c r="AR8" i="2"/>
  <c r="AY8" i="2" s="1"/>
  <c r="AP30" i="2"/>
  <c r="CC33" i="2"/>
  <c r="CA6" i="2"/>
  <c r="CA10" i="2"/>
  <c r="AQ11" i="2"/>
  <c r="AQ20" i="2"/>
  <c r="AX20" i="2" s="1"/>
  <c r="CA19" i="2"/>
  <c r="CD35" i="2"/>
  <c r="CK35" i="2" s="1"/>
  <c r="CB16" i="2"/>
  <c r="CC4" i="2"/>
  <c r="AR11" i="2"/>
  <c r="AY11" i="2" s="1"/>
  <c r="CB8" i="2"/>
  <c r="CB29" i="2"/>
  <c r="BZ22" i="2"/>
  <c r="CA13" i="2"/>
  <c r="CC23" i="2"/>
  <c r="CJ23" i="2" s="1"/>
  <c r="BZ15" i="2"/>
  <c r="CA11" i="2"/>
  <c r="BS17" i="2"/>
  <c r="BU18" i="2"/>
  <c r="AH5" i="2"/>
  <c r="AV5" i="2" s="1"/>
  <c r="BS29" i="2"/>
  <c r="CG29" i="2" s="1"/>
  <c r="BT34" i="2"/>
  <c r="AG16" i="2"/>
  <c r="BU10" i="2"/>
  <c r="AH20" i="2"/>
  <c r="BS16" i="2"/>
  <c r="AG5" i="2"/>
  <c r="BS13" i="2"/>
  <c r="BT17" i="2"/>
  <c r="BT12" i="2"/>
  <c r="AL9" i="2"/>
  <c r="BX21" i="2"/>
  <c r="BX15" i="2"/>
  <c r="AG12" i="2"/>
  <c r="AH11" i="2"/>
  <c r="BT11" i="2"/>
  <c r="BU28" i="2"/>
  <c r="BX30" i="2"/>
  <c r="AL17" i="2"/>
  <c r="BX33" i="2"/>
  <c r="AW33" i="2"/>
  <c r="CJ17" i="2"/>
  <c r="AX14" i="2"/>
  <c r="AU29" i="2"/>
  <c r="AW17" i="2"/>
  <c r="CH27" i="2" l="1"/>
  <c r="CG28" i="2"/>
  <c r="AM26" i="2"/>
  <c r="CI5" i="2"/>
  <c r="CH12" i="2"/>
  <c r="CH6" i="2"/>
  <c r="CG30" i="2"/>
  <c r="CE32" i="2"/>
  <c r="CL32" i="2" s="1"/>
  <c r="AW19" i="2"/>
  <c r="AV33" i="2"/>
  <c r="CI29" i="2"/>
  <c r="AS10" i="2"/>
  <c r="AZ10" i="2" s="1"/>
  <c r="CG5" i="2"/>
  <c r="AS5" i="2"/>
  <c r="AZ5" i="2" s="1"/>
  <c r="AV23" i="2"/>
  <c r="CH18" i="2"/>
  <c r="AW20" i="2"/>
  <c r="AS12" i="2"/>
  <c r="AZ12" i="2" s="1"/>
  <c r="AV20" i="2"/>
  <c r="CE4" i="2"/>
  <c r="CL4" i="2" s="1"/>
  <c r="AM21" i="2"/>
  <c r="CP12" i="2"/>
  <c r="AW29" i="2"/>
  <c r="AS32" i="2"/>
  <c r="AZ32" i="2" s="1"/>
  <c r="AT7" i="2"/>
  <c r="AU13" i="2"/>
  <c r="AU9" i="2"/>
  <c r="AX32" i="2"/>
  <c r="CL27" i="2"/>
  <c r="AW4" i="2"/>
  <c r="AM30" i="2"/>
  <c r="AT31" i="2"/>
  <c r="AM19" i="2"/>
  <c r="AM10" i="2"/>
  <c r="AT22" i="2"/>
  <c r="AT15" i="2"/>
  <c r="AV34" i="2"/>
  <c r="AU31" i="2"/>
  <c r="AW15" i="2"/>
  <c r="AM8" i="2"/>
  <c r="CH30" i="2"/>
  <c r="AW12" i="2"/>
  <c r="AW31" i="2"/>
  <c r="AS14" i="2"/>
  <c r="AZ14" i="2" s="1"/>
  <c r="AU11" i="2"/>
  <c r="AT23" i="2"/>
  <c r="CI20" i="2"/>
  <c r="AS16" i="2"/>
  <c r="AZ16" i="2" s="1"/>
  <c r="AT27" i="2"/>
  <c r="AT32" i="2"/>
  <c r="BA32" i="2" s="1"/>
  <c r="CP35" i="2"/>
  <c r="CG11" i="2"/>
  <c r="AT24" i="2"/>
  <c r="AU19" i="2"/>
  <c r="CI32" i="2"/>
  <c r="CG20" i="2"/>
  <c r="AM13" i="2"/>
  <c r="CH31" i="2"/>
  <c r="AV8" i="2"/>
  <c r="AV28" i="2"/>
  <c r="AM6" i="2"/>
  <c r="CH7" i="2"/>
  <c r="AT9" i="2"/>
  <c r="BA9" i="2" s="1"/>
  <c r="CI35" i="2"/>
  <c r="CG27" i="2"/>
  <c r="CI19" i="2"/>
  <c r="CP14" i="2"/>
  <c r="AW16" i="2"/>
  <c r="AU7" i="2"/>
  <c r="AM9" i="2"/>
  <c r="AX10" i="2"/>
  <c r="AU15" i="2"/>
  <c r="CH34" i="2"/>
  <c r="AM24" i="2"/>
  <c r="AM27" i="2"/>
  <c r="AM33" i="2"/>
  <c r="BA33" i="2" s="1"/>
  <c r="CI34" i="2"/>
  <c r="AU6" i="2"/>
  <c r="CG4" i="2"/>
  <c r="AU22" i="2"/>
  <c r="CE34" i="2"/>
  <c r="CL34" i="2" s="1"/>
  <c r="AS35" i="2"/>
  <c r="AZ35" i="2" s="1"/>
  <c r="CI18" i="2"/>
  <c r="CH8" i="2"/>
  <c r="AW7" i="2"/>
  <c r="AW13" i="2"/>
  <c r="CE5" i="2"/>
  <c r="CL5" i="2" s="1"/>
  <c r="AM35" i="2"/>
  <c r="CP32" i="2"/>
  <c r="AS18" i="2"/>
  <c r="AZ18" i="2" s="1"/>
  <c r="CJ5" i="2"/>
  <c r="CE30" i="2"/>
  <c r="CL30" i="2" s="1"/>
  <c r="CJ13" i="2"/>
  <c r="CI21" i="2"/>
  <c r="CJ34" i="2"/>
  <c r="AX16" i="2"/>
  <c r="AM22" i="2"/>
  <c r="CJ32" i="2"/>
  <c r="AX18" i="2"/>
  <c r="CJ27" i="2"/>
  <c r="CG13" i="2"/>
  <c r="AW30" i="2"/>
  <c r="AU28" i="2"/>
  <c r="AT20" i="2"/>
  <c r="CG25" i="2"/>
  <c r="CH20" i="2"/>
  <c r="AU35" i="2"/>
  <c r="CE25" i="2"/>
  <c r="CL25" i="2" s="1"/>
  <c r="CJ33" i="2"/>
  <c r="AU24" i="2"/>
  <c r="AS15" i="2"/>
  <c r="AZ15" i="2" s="1"/>
  <c r="CG17" i="2"/>
  <c r="CE6" i="2"/>
  <c r="CL6" i="2" s="1"/>
  <c r="AT14" i="2"/>
  <c r="AU14" i="2"/>
  <c r="CH11" i="2"/>
  <c r="CI16" i="2"/>
  <c r="AV17" i="2"/>
  <c r="CG34" i="2"/>
  <c r="AV27" i="2"/>
  <c r="AT11" i="2"/>
  <c r="AW18" i="2"/>
  <c r="CI27" i="2"/>
  <c r="AS28" i="2"/>
  <c r="AZ28" i="2" s="1"/>
  <c r="AS23" i="2"/>
  <c r="AZ23" i="2" s="1"/>
  <c r="CE22" i="2"/>
  <c r="CL22" i="2" s="1"/>
  <c r="CP4" i="2"/>
  <c r="CE7" i="2"/>
  <c r="CL7" i="2" s="1"/>
  <c r="AU5" i="2"/>
  <c r="AM16" i="2"/>
  <c r="AW8" i="2"/>
  <c r="AT34" i="2"/>
  <c r="AT21" i="2"/>
  <c r="AM12" i="2"/>
  <c r="AV21" i="2"/>
  <c r="AM18" i="2"/>
  <c r="CH32" i="2"/>
  <c r="AM7" i="2"/>
  <c r="CH19" i="2"/>
  <c r="AV31" i="2"/>
  <c r="CI4" i="2"/>
  <c r="AW24" i="2"/>
  <c r="CI6" i="2"/>
  <c r="AV26" i="2"/>
  <c r="CH16" i="2"/>
  <c r="CH28" i="2"/>
  <c r="CI11" i="2"/>
  <c r="CI15" i="2"/>
  <c r="AW26" i="2"/>
  <c r="CI31" i="2"/>
  <c r="CG24" i="2"/>
  <c r="AV25" i="2"/>
  <c r="CG23" i="2"/>
  <c r="CH14" i="2"/>
  <c r="AW11" i="2"/>
  <c r="AU27" i="2"/>
  <c r="CI12" i="2"/>
  <c r="AW34" i="2"/>
  <c r="AV10" i="2"/>
  <c r="AT25" i="2"/>
  <c r="BA25" i="2" s="1"/>
  <c r="AS22" i="2"/>
  <c r="AZ22" i="2" s="1"/>
  <c r="AU26" i="2"/>
  <c r="AM17" i="2"/>
  <c r="CE17" i="2"/>
  <c r="CL17" i="2" s="1"/>
  <c r="AV13" i="2"/>
  <c r="AS27" i="2"/>
  <c r="AZ27" i="2" s="1"/>
  <c r="CJ10" i="2"/>
  <c r="CH10" i="2"/>
  <c r="CE26" i="2"/>
  <c r="CL26" i="2" s="1"/>
  <c r="AT16" i="2"/>
  <c r="CG21" i="2"/>
  <c r="AS19" i="2"/>
  <c r="AZ19" i="2" s="1"/>
  <c r="CI25" i="2"/>
  <c r="CH9" i="2"/>
  <c r="AV32" i="2"/>
  <c r="AT29" i="2"/>
  <c r="BA29" i="2" s="1"/>
  <c r="CI33" i="2"/>
  <c r="CP15" i="2"/>
  <c r="AX5" i="2"/>
  <c r="AU4" i="2"/>
  <c r="AT26" i="2"/>
  <c r="BA26" i="2" s="1"/>
  <c r="AS13" i="2"/>
  <c r="AZ13" i="2" s="1"/>
  <c r="CH25" i="2"/>
  <c r="CI17" i="2"/>
  <c r="CI30" i="2"/>
  <c r="CI22" i="2"/>
  <c r="CP8" i="2"/>
  <c r="AT35" i="2"/>
  <c r="BA35" i="2" s="1"/>
  <c r="AV11" i="2"/>
  <c r="AT30" i="2"/>
  <c r="BA30" i="2" s="1"/>
  <c r="CG35" i="2"/>
  <c r="CI13" i="2"/>
  <c r="CI9" i="2"/>
  <c r="AU20" i="2"/>
  <c r="CI23" i="2"/>
  <c r="AU32" i="2"/>
  <c r="CE9" i="2"/>
  <c r="CL9" i="2" s="1"/>
  <c r="AS34" i="2"/>
  <c r="AZ34" i="2" s="1"/>
  <c r="CJ21" i="2"/>
  <c r="AV12" i="2"/>
  <c r="AS7" i="2"/>
  <c r="AZ7" i="2" s="1"/>
  <c r="CG16" i="2"/>
  <c r="AV7" i="2"/>
  <c r="CP23" i="2"/>
  <c r="CP30" i="2"/>
  <c r="CE12" i="2"/>
  <c r="CL12" i="2" s="1"/>
  <c r="CE24" i="2"/>
  <c r="CL24" i="2" s="1"/>
  <c r="CE16" i="2"/>
  <c r="CL16" i="2" s="1"/>
  <c r="AS26" i="2"/>
  <c r="AZ26" i="2" s="1"/>
  <c r="CH17" i="2"/>
  <c r="CG22" i="2"/>
  <c r="AT5" i="2"/>
  <c r="CP13" i="2"/>
  <c r="CE29" i="2"/>
  <c r="CL29" i="2" s="1"/>
  <c r="CE15" i="2"/>
  <c r="CL15" i="2" s="1"/>
  <c r="CH23" i="2"/>
  <c r="CG15" i="2"/>
  <c r="AM23" i="2"/>
  <c r="AM28" i="2"/>
  <c r="AT12" i="2"/>
  <c r="BA12" i="2" s="1"/>
  <c r="AM11" i="2"/>
  <c r="AS25" i="2"/>
  <c r="AZ25" i="2" s="1"/>
  <c r="AM34" i="2"/>
  <c r="CI28" i="2"/>
  <c r="CI10" i="2"/>
  <c r="AT33" i="2"/>
  <c r="AT8" i="2"/>
  <c r="AV29" i="2"/>
  <c r="AX25" i="2"/>
  <c r="AT17" i="2"/>
  <c r="CP29" i="2"/>
  <c r="AS9" i="2"/>
  <c r="AZ9" i="2" s="1"/>
  <c r="AU33" i="2"/>
  <c r="CJ4" i="2"/>
  <c r="CP26" i="2"/>
  <c r="AS33" i="2"/>
  <c r="AZ33" i="2" s="1"/>
  <c r="CE11" i="2"/>
  <c r="CL11" i="2" s="1"/>
  <c r="CE23" i="2"/>
  <c r="CL23" i="2" s="1"/>
  <c r="AU12" i="2"/>
  <c r="AT18" i="2"/>
  <c r="CP20" i="2"/>
  <c r="CP11" i="2"/>
  <c r="CP7" i="2"/>
  <c r="CP33" i="2"/>
  <c r="AW14" i="2"/>
  <c r="CG10" i="2"/>
  <c r="AW35" i="2"/>
  <c r="CG19" i="2"/>
  <c r="CI24" i="2"/>
  <c r="AW6" i="2"/>
  <c r="AT28" i="2"/>
  <c r="BA28" i="2" s="1"/>
  <c r="AW9" i="2"/>
  <c r="AV15" i="2"/>
  <c r="CH29" i="2"/>
  <c r="AM4" i="2"/>
  <c r="BA4" i="2" s="1"/>
  <c r="CG6" i="2"/>
  <c r="AV22" i="2"/>
  <c r="CH22" i="2"/>
  <c r="AT13" i="2"/>
  <c r="BA13" i="2" s="1"/>
  <c r="AW23" i="2"/>
  <c r="AW27" i="2"/>
  <c r="AW5" i="2"/>
  <c r="AV30" i="2"/>
  <c r="AU8" i="2"/>
  <c r="CH26" i="2"/>
  <c r="AV35" i="2"/>
  <c r="AU16" i="2"/>
  <c r="CJ26" i="2"/>
  <c r="CE8" i="2"/>
  <c r="CL8" i="2" s="1"/>
  <c r="AV16" i="2"/>
  <c r="CP27" i="2"/>
  <c r="AX19" i="2"/>
  <c r="AV6" i="2"/>
  <c r="CG33" i="2"/>
  <c r="AU21" i="2"/>
  <c r="CE28" i="2"/>
  <c r="CL28" i="2" s="1"/>
  <c r="AU25" i="2"/>
  <c r="AX30" i="2"/>
  <c r="AM14" i="2"/>
  <c r="BA14" i="2" s="1"/>
  <c r="AM31" i="2"/>
  <c r="AM20" i="2"/>
  <c r="CE18" i="2"/>
  <c r="CL18" i="2" s="1"/>
  <c r="CJ35" i="2"/>
  <c r="AX29" i="2"/>
  <c r="CJ6" i="2"/>
  <c r="CP9" i="2"/>
  <c r="AM15" i="2"/>
  <c r="AU18" i="2"/>
  <c r="AS6" i="2"/>
  <c r="AZ6" i="2" s="1"/>
  <c r="CP34" i="2"/>
  <c r="CP22" i="2"/>
  <c r="CP28" i="2"/>
  <c r="CP21" i="2"/>
  <c r="CP5" i="2"/>
  <c r="CP6" i="2"/>
  <c r="AS20" i="2"/>
  <c r="AZ20" i="2" s="1"/>
  <c r="CP25" i="2"/>
  <c r="AS21" i="2"/>
  <c r="AZ21" i="2" s="1"/>
  <c r="AS31" i="2"/>
  <c r="AZ31" i="2" s="1"/>
  <c r="AU10" i="2"/>
  <c r="CP17" i="2"/>
  <c r="AS24" i="2"/>
  <c r="AZ24" i="2" s="1"/>
  <c r="AS4" i="2"/>
  <c r="AZ4" i="2" s="1"/>
  <c r="AS17" i="2"/>
  <c r="AZ17" i="2" s="1"/>
  <c r="AV19" i="2"/>
  <c r="CH4" i="2"/>
  <c r="CH21" i="2"/>
  <c r="CG7" i="2"/>
  <c r="CG26" i="2"/>
  <c r="AT6" i="2"/>
  <c r="AM5" i="2"/>
  <c r="CP10" i="2"/>
  <c r="AS8" i="2"/>
  <c r="AZ8" i="2" s="1"/>
  <c r="AU34" i="2"/>
  <c r="CP18" i="2"/>
  <c r="AV14" i="2"/>
  <c r="CE35" i="2"/>
  <c r="CL35" i="2" s="1"/>
  <c r="CE31" i="2"/>
  <c r="CL31" i="2" s="1"/>
  <c r="AU30" i="2"/>
  <c r="CE19" i="2"/>
  <c r="CL19" i="2" s="1"/>
  <c r="CE20" i="2"/>
  <c r="CL20" i="2" s="1"/>
  <c r="CP31" i="2"/>
  <c r="CE33" i="2"/>
  <c r="CL33" i="2" s="1"/>
  <c r="CP24" i="2"/>
  <c r="CE13" i="2"/>
  <c r="CL13" i="2" s="1"/>
  <c r="BA10" i="2"/>
  <c r="CP16" i="2"/>
  <c r="CP19" i="2"/>
  <c r="AS11" i="2"/>
  <c r="AZ11" i="2" s="1"/>
  <c r="AX11" i="2"/>
  <c r="CL21" i="2"/>
  <c r="CG31" i="2"/>
  <c r="AW25" i="2"/>
  <c r="CG18" i="2"/>
  <c r="CH5" i="2"/>
  <c r="AT19" i="2"/>
  <c r="CE14" i="2"/>
  <c r="CL14" i="2" s="1"/>
  <c r="CI8" i="2"/>
  <c r="BA24" i="2"/>
  <c r="BA23" i="2"/>
  <c r="BA31" i="2" l="1"/>
  <c r="BA17" i="2"/>
  <c r="CQ5" i="2"/>
  <c r="BA15" i="2"/>
  <c r="BE12" i="2" s="1"/>
  <c r="BA8" i="2"/>
  <c r="CQ22" i="2"/>
  <c r="CQ35" i="2"/>
  <c r="CQ27" i="2"/>
  <c r="BA21" i="2"/>
  <c r="BA19" i="2"/>
  <c r="BA11" i="2"/>
  <c r="BE8" i="2" s="1"/>
  <c r="CQ12" i="2"/>
  <c r="BA27" i="2"/>
  <c r="BF25" i="2" s="1"/>
  <c r="BA22" i="2"/>
  <c r="BA6" i="2"/>
  <c r="CQ18" i="2"/>
  <c r="BA7" i="2"/>
  <c r="CQ14" i="2"/>
  <c r="BA16" i="2"/>
  <c r="CQ26" i="2"/>
  <c r="CQ9" i="2"/>
  <c r="CQ11" i="2"/>
  <c r="CQ29" i="2"/>
  <c r="CQ6" i="2"/>
  <c r="CQ25" i="2"/>
  <c r="CQ4" i="2"/>
  <c r="BA34" i="2"/>
  <c r="BF35" i="2" s="1"/>
  <c r="CQ8" i="2"/>
  <c r="CQ7" i="2"/>
  <c r="CQ24" i="2"/>
  <c r="CQ19" i="2"/>
  <c r="BA18" i="2"/>
  <c r="BF19" i="2" s="1"/>
  <c r="BA20" i="2"/>
  <c r="CQ15" i="2"/>
  <c r="CQ10" i="2"/>
  <c r="CQ13" i="2"/>
  <c r="CS13" i="2" s="1"/>
  <c r="CQ16" i="2"/>
  <c r="BE31" i="2"/>
  <c r="BA5" i="2"/>
  <c r="CQ21" i="2"/>
  <c r="CQ33" i="2"/>
  <c r="CQ34" i="2"/>
  <c r="CQ23" i="2"/>
  <c r="BF14" i="2"/>
  <c r="CQ28" i="2"/>
  <c r="CQ31" i="2"/>
  <c r="CQ17" i="2"/>
  <c r="CQ30" i="2"/>
  <c r="CQ32" i="2"/>
  <c r="CQ20" i="2"/>
  <c r="BE14" i="2"/>
  <c r="BE9" i="2"/>
  <c r="BE33" i="2"/>
  <c r="BF11" i="2"/>
  <c r="BF10" i="2"/>
  <c r="BF9" i="2"/>
  <c r="BE25" i="2"/>
  <c r="BE10" i="2"/>
  <c r="BF31" i="2"/>
  <c r="BF30" i="2"/>
  <c r="BF28" i="2"/>
  <c r="BE28" i="2"/>
  <c r="BF29" i="2"/>
  <c r="BF24" i="2"/>
  <c r="BE30" i="2"/>
  <c r="BE29" i="2"/>
  <c r="BE35" i="2"/>
  <c r="BE26" i="2"/>
  <c r="BF12" i="2" l="1"/>
  <c r="BE6" i="2"/>
  <c r="BF32" i="2"/>
  <c r="BF8" i="2"/>
  <c r="BF15" i="2"/>
  <c r="BE13" i="2"/>
  <c r="BF13" i="2"/>
  <c r="BF34" i="2"/>
  <c r="BE11" i="2"/>
  <c r="BE15" i="2"/>
  <c r="BF7" i="2"/>
  <c r="BE27" i="2"/>
  <c r="BI26" i="2" s="1"/>
  <c r="BE19" i="2"/>
  <c r="BE5" i="2"/>
  <c r="BF4" i="2"/>
  <c r="BF26" i="2"/>
  <c r="BF27" i="2"/>
  <c r="BE24" i="2"/>
  <c r="BH15" i="2"/>
  <c r="CS24" i="2"/>
  <c r="CR24" i="2"/>
  <c r="CR19" i="2"/>
  <c r="BF22" i="2"/>
  <c r="CS25" i="2"/>
  <c r="CS8" i="2"/>
  <c r="CR14" i="2"/>
  <c r="CS27" i="2"/>
  <c r="CR27" i="2"/>
  <c r="CR31" i="2"/>
  <c r="CS9" i="2"/>
  <c r="CR7" i="2"/>
  <c r="CR26" i="2"/>
  <c r="CS26" i="2"/>
  <c r="CS23" i="2"/>
  <c r="CS10" i="2"/>
  <c r="CR25" i="2"/>
  <c r="BG13" i="2"/>
  <c r="BF5" i="2"/>
  <c r="CR34" i="2"/>
  <c r="CR8" i="2"/>
  <c r="CS15" i="2"/>
  <c r="BE17" i="2"/>
  <c r="CR6" i="2"/>
  <c r="CR10" i="2"/>
  <c r="BE34" i="2"/>
  <c r="BF18" i="2"/>
  <c r="BF17" i="2"/>
  <c r="BF33" i="2"/>
  <c r="BE32" i="2"/>
  <c r="BI33" i="2" s="1"/>
  <c r="BE4" i="2"/>
  <c r="BE7" i="2"/>
  <c r="CR21" i="2"/>
  <c r="BE16" i="2"/>
  <c r="BE18" i="2"/>
  <c r="BF6" i="2"/>
  <c r="CR32" i="2"/>
  <c r="CR18" i="2"/>
  <c r="CS4" i="2"/>
  <c r="BE20" i="2"/>
  <c r="BE21" i="2"/>
  <c r="CR4" i="2"/>
  <c r="CS5" i="2"/>
  <c r="BF21" i="2"/>
  <c r="CR22" i="2"/>
  <c r="CR17" i="2"/>
  <c r="CS11" i="2"/>
  <c r="CR9" i="2"/>
  <c r="BF20" i="2"/>
  <c r="CS12" i="2"/>
  <c r="BE22" i="2"/>
  <c r="CS20" i="2"/>
  <c r="BF16" i="2"/>
  <c r="CS7" i="2"/>
  <c r="CS6" i="2"/>
  <c r="CR11" i="2"/>
  <c r="CS18" i="2"/>
  <c r="CR23" i="2"/>
  <c r="CR13" i="2"/>
  <c r="BE23" i="2"/>
  <c r="CR5" i="2"/>
  <c r="BF23" i="2"/>
  <c r="CS16" i="2"/>
  <c r="CS22" i="2"/>
  <c r="CS19" i="2"/>
  <c r="CS17" i="2"/>
  <c r="CR12" i="2"/>
  <c r="CS14" i="2"/>
  <c r="CR20" i="2"/>
  <c r="CR33" i="2"/>
  <c r="CR30" i="2"/>
  <c r="CR28" i="2"/>
  <c r="CR16" i="2"/>
  <c r="CS21" i="2"/>
  <c r="CS35" i="2"/>
  <c r="CR15" i="2"/>
  <c r="CR35" i="2"/>
  <c r="BJ13" i="2"/>
  <c r="BI28" i="2"/>
  <c r="CS30" i="2"/>
  <c r="CS31" i="2"/>
  <c r="CS34" i="2"/>
  <c r="CS33" i="2"/>
  <c r="CS28" i="2"/>
  <c r="CR29" i="2"/>
  <c r="BG35" i="2"/>
  <c r="BG29" i="2"/>
  <c r="CS29" i="2"/>
  <c r="CS32" i="2"/>
  <c r="BJ14" i="2"/>
  <c r="BG12" i="2"/>
  <c r="BH13" i="2"/>
  <c r="BH14" i="2"/>
  <c r="BI13" i="2"/>
  <c r="BI15" i="2"/>
  <c r="BI14" i="2"/>
  <c r="BG11" i="2"/>
  <c r="BH12" i="2"/>
  <c r="BJ28" i="2"/>
  <c r="BG14" i="2"/>
  <c r="BH25" i="2"/>
  <c r="BJ12" i="2"/>
  <c r="BI12" i="2"/>
  <c r="BJ15" i="2"/>
  <c r="BG15" i="2"/>
  <c r="BG30" i="2"/>
  <c r="BG8" i="2"/>
  <c r="BH31" i="2"/>
  <c r="BI30" i="2"/>
  <c r="BH9" i="2"/>
  <c r="BJ30" i="2"/>
  <c r="BI29" i="2"/>
  <c r="BJ29" i="2"/>
  <c r="BH29" i="2"/>
  <c r="BI8" i="2"/>
  <c r="BI11" i="2"/>
  <c r="BH24" i="2"/>
  <c r="BI31" i="2"/>
  <c r="BH30" i="2"/>
  <c r="BG31" i="2"/>
  <c r="BH8" i="2"/>
  <c r="BI34" i="2"/>
  <c r="BH34" i="2"/>
  <c r="BH32" i="2"/>
  <c r="BJ33" i="2"/>
  <c r="BI32" i="2"/>
  <c r="BG32" i="2"/>
  <c r="BH33" i="2"/>
  <c r="BJ11" i="2"/>
  <c r="BJ35" i="2"/>
  <c r="BG28" i="2"/>
  <c r="BJ31" i="2"/>
  <c r="BH28" i="2"/>
  <c r="BJ16" i="2"/>
  <c r="BJ8" i="2"/>
  <c r="BI9" i="2"/>
  <c r="BJ10" i="2"/>
  <c r="BJ9" i="2"/>
  <c r="BG9" i="2"/>
  <c r="BI10" i="2"/>
  <c r="BH10" i="2"/>
  <c r="BH11" i="2"/>
  <c r="BG10" i="2"/>
  <c r="BJ24" i="2" l="1"/>
  <c r="BG25" i="2"/>
  <c r="BG27" i="2"/>
  <c r="BG20" i="2"/>
  <c r="BH5" i="2"/>
  <c r="BJ26" i="2"/>
  <c r="BG17" i="2"/>
  <c r="BI24" i="2"/>
  <c r="BO24" i="2" s="1"/>
  <c r="BJ27" i="2"/>
  <c r="BO15" i="2"/>
  <c r="BH4" i="2"/>
  <c r="BJ25" i="2"/>
  <c r="BI25" i="2"/>
  <c r="BG24" i="2"/>
  <c r="BH26" i="2"/>
  <c r="BH27" i="2"/>
  <c r="BO27" i="2" s="1"/>
  <c r="BG6" i="2"/>
  <c r="BI27" i="2"/>
  <c r="BG26" i="2"/>
  <c r="BH23" i="2"/>
  <c r="BG22" i="2"/>
  <c r="BI20" i="2"/>
  <c r="BI21" i="2"/>
  <c r="BG21" i="2"/>
  <c r="BO21" i="2" s="1"/>
  <c r="BI16" i="2"/>
  <c r="BJ20" i="2"/>
  <c r="BI18" i="2"/>
  <c r="BI17" i="2"/>
  <c r="BG34" i="2"/>
  <c r="BJ19" i="2"/>
  <c r="BI19" i="2"/>
  <c r="BH17" i="2"/>
  <c r="BO14" i="2"/>
  <c r="BJ21" i="2"/>
  <c r="BJ4" i="2"/>
  <c r="BG18" i="2"/>
  <c r="BH18" i="2"/>
  <c r="BH22" i="2"/>
  <c r="BH21" i="2"/>
  <c r="BG23" i="2"/>
  <c r="BI23" i="2"/>
  <c r="BI35" i="2"/>
  <c r="BG33" i="2"/>
  <c r="BJ32" i="2"/>
  <c r="BO32" i="2" s="1"/>
  <c r="BJ34" i="2"/>
  <c r="BO34" i="2" s="1"/>
  <c r="BI22" i="2"/>
  <c r="BJ22" i="2"/>
  <c r="BJ17" i="2"/>
  <c r="BJ23" i="2"/>
  <c r="BH6" i="2"/>
  <c r="BI4" i="2"/>
  <c r="BG4" i="2"/>
  <c r="BG7" i="2"/>
  <c r="BJ6" i="2"/>
  <c r="BG16" i="2"/>
  <c r="BJ7" i="2"/>
  <c r="BH7" i="2"/>
  <c r="BG5" i="2"/>
  <c r="BJ5" i="2"/>
  <c r="BJ18" i="2"/>
  <c r="BG19" i="2"/>
  <c r="BH20" i="2"/>
  <c r="BH35" i="2"/>
  <c r="BH16" i="2"/>
  <c r="BH19" i="2"/>
  <c r="BI7" i="2"/>
  <c r="BI6" i="2"/>
  <c r="BI5" i="2"/>
  <c r="BO13" i="2"/>
  <c r="BO12" i="2"/>
  <c r="BO10" i="2"/>
  <c r="BO9" i="2"/>
  <c r="BO11" i="2"/>
  <c r="BO28" i="2"/>
  <c r="DC28" i="2" s="1"/>
  <c r="DE28" i="2" s="1"/>
  <c r="S54" i="1" s="1"/>
  <c r="BO29" i="2"/>
  <c r="BO30" i="2"/>
  <c r="BO31" i="2"/>
  <c r="BO26" i="2"/>
  <c r="BO33" i="2"/>
  <c r="BO8" i="2"/>
  <c r="BO17" i="2"/>
  <c r="BO20" i="2" l="1"/>
  <c r="BO25" i="2"/>
  <c r="BO16" i="2"/>
  <c r="BO4" i="2"/>
  <c r="DC4" i="2" s="1"/>
  <c r="DE4" i="2" s="1"/>
  <c r="S12" i="1" s="1"/>
  <c r="X12" i="1" s="1"/>
  <c r="BO5" i="2"/>
  <c r="BO35" i="2"/>
  <c r="DC35" i="2" s="1"/>
  <c r="DE35" i="2" s="1"/>
  <c r="S64" i="1" s="1"/>
  <c r="BO22" i="2"/>
  <c r="BO19" i="2"/>
  <c r="BO7" i="2"/>
  <c r="BO23" i="2"/>
  <c r="DC23" i="2" s="1"/>
  <c r="DE23" i="2" s="1"/>
  <c r="S43" i="1" s="1"/>
  <c r="BO18" i="2"/>
  <c r="BO6" i="2"/>
  <c r="DC17" i="2"/>
  <c r="DE17" i="2" s="1"/>
  <c r="S34" i="1" s="1"/>
  <c r="S99" i="1" s="1"/>
  <c r="DC31" i="2"/>
  <c r="DE31" i="2" s="1"/>
  <c r="S57" i="1" s="1"/>
  <c r="V57" i="1" s="1"/>
  <c r="DC16" i="2"/>
  <c r="DE16" i="2" s="1"/>
  <c r="S33" i="1" s="1"/>
  <c r="V33" i="1" s="1"/>
  <c r="DC12" i="2"/>
  <c r="DE12" i="2" s="1"/>
  <c r="S26" i="1" s="1"/>
  <c r="DC13" i="2"/>
  <c r="DE13" i="2" s="1"/>
  <c r="S27" i="1" s="1"/>
  <c r="DC14" i="2"/>
  <c r="DE14" i="2" s="1"/>
  <c r="S28" i="1" s="1"/>
  <c r="DC15" i="2"/>
  <c r="DE15" i="2" s="1"/>
  <c r="S29" i="1" s="1"/>
  <c r="DC30" i="2"/>
  <c r="DE30" i="2" s="1"/>
  <c r="S56" i="1" s="1"/>
  <c r="U56" i="1" s="1"/>
  <c r="DC29" i="2"/>
  <c r="DE29" i="2" s="1"/>
  <c r="S55" i="1" s="1"/>
  <c r="U55" i="1" s="1"/>
  <c r="DC18" i="2"/>
  <c r="DE18" i="2" s="1"/>
  <c r="S35" i="1" s="1"/>
  <c r="X35" i="1" s="1"/>
  <c r="V34" i="1"/>
  <c r="U34" i="1"/>
  <c r="W54" i="1"/>
  <c r="U54" i="1"/>
  <c r="V54" i="1"/>
  <c r="X54" i="1"/>
  <c r="S92" i="1"/>
  <c r="DC25" i="2"/>
  <c r="DE25" i="2" s="1"/>
  <c r="S48" i="1" s="1"/>
  <c r="DC24" i="2"/>
  <c r="DE24" i="2" s="1"/>
  <c r="S47" i="1" s="1"/>
  <c r="DC27" i="2"/>
  <c r="DE27" i="2" s="1"/>
  <c r="S50" i="1" s="1"/>
  <c r="DC26" i="2"/>
  <c r="DE26" i="2" s="1"/>
  <c r="S49" i="1" s="1"/>
  <c r="DC11" i="2"/>
  <c r="DE11" i="2" s="1"/>
  <c r="S22" i="1" s="1"/>
  <c r="DC8" i="2"/>
  <c r="DE8" i="2" s="1"/>
  <c r="S19" i="1" s="1"/>
  <c r="DC9" i="2"/>
  <c r="DE9" i="2" s="1"/>
  <c r="S20" i="1" s="1"/>
  <c r="DC10" i="2"/>
  <c r="DE10" i="2" s="1"/>
  <c r="S21" i="1" s="1"/>
  <c r="DC19" i="2"/>
  <c r="DE19" i="2" s="1"/>
  <c r="S36" i="1" s="1"/>
  <c r="DC22" i="2"/>
  <c r="DE22" i="2" s="1"/>
  <c r="S42" i="1" s="1"/>
  <c r="DC21" i="2"/>
  <c r="DE21" i="2" s="1"/>
  <c r="S41" i="1" s="1"/>
  <c r="DC20" i="2"/>
  <c r="DE20" i="2" s="1"/>
  <c r="S40" i="1" s="1"/>
  <c r="DC32" i="2"/>
  <c r="DE32" i="2" s="1"/>
  <c r="S61" i="1" s="1"/>
  <c r="DC34" i="2"/>
  <c r="DE34" i="2" s="1"/>
  <c r="S63" i="1" s="1"/>
  <c r="DC33" i="2"/>
  <c r="DE33" i="2" s="1"/>
  <c r="S62" i="1" s="1"/>
  <c r="S102" i="1"/>
  <c r="V55" i="1"/>
  <c r="DC5" i="2" l="1"/>
  <c r="DE5" i="2" s="1"/>
  <c r="S13" i="1" s="1"/>
  <c r="S96" i="1" s="1"/>
  <c r="DC6" i="2"/>
  <c r="DE6" i="2" s="1"/>
  <c r="S14" i="1" s="1"/>
  <c r="V14" i="1" s="1"/>
  <c r="X14" i="1"/>
  <c r="U12" i="1"/>
  <c r="DC7" i="2"/>
  <c r="DE7" i="2" s="1"/>
  <c r="S15" i="1" s="1"/>
  <c r="V15" i="1" s="1"/>
  <c r="V12" i="1"/>
  <c r="Y12" i="1" s="1"/>
  <c r="W33" i="1"/>
  <c r="W13" i="1"/>
  <c r="X55" i="1"/>
  <c r="W55" i="1"/>
  <c r="T55" i="1" s="1"/>
  <c r="W12" i="1"/>
  <c r="X34" i="1"/>
  <c r="W34" i="1"/>
  <c r="S86" i="1"/>
  <c r="T86" i="1" s="1"/>
  <c r="W57" i="1"/>
  <c r="S89" i="1"/>
  <c r="T89" i="1" s="1"/>
  <c r="W14" i="1"/>
  <c r="U14" i="1"/>
  <c r="X33" i="1"/>
  <c r="U33" i="1"/>
  <c r="Y33" i="1" s="1"/>
  <c r="W56" i="1"/>
  <c r="X56" i="1"/>
  <c r="X57" i="1"/>
  <c r="W35" i="1"/>
  <c r="U26" i="1"/>
  <c r="V26" i="1"/>
  <c r="X26" i="1"/>
  <c r="W26" i="1"/>
  <c r="S88" i="1"/>
  <c r="V56" i="1"/>
  <c r="U57" i="1"/>
  <c r="Y57" i="1" s="1"/>
  <c r="V35" i="1"/>
  <c r="X29" i="1"/>
  <c r="V29" i="1"/>
  <c r="U29" i="1"/>
  <c r="W29" i="1"/>
  <c r="V28" i="1"/>
  <c r="X28" i="1"/>
  <c r="U28" i="1"/>
  <c r="W28" i="1"/>
  <c r="V27" i="1"/>
  <c r="U27" i="1"/>
  <c r="S98" i="1"/>
  <c r="W27" i="1"/>
  <c r="X27" i="1"/>
  <c r="U35" i="1"/>
  <c r="X102" i="1"/>
  <c r="H73" i="15" s="1"/>
  <c r="T102" i="1"/>
  <c r="U64" i="1"/>
  <c r="X64" i="1"/>
  <c r="W64" i="1"/>
  <c r="V64" i="1"/>
  <c r="X41" i="1"/>
  <c r="W41" i="1"/>
  <c r="U41" i="1"/>
  <c r="S100" i="1"/>
  <c r="V41" i="1"/>
  <c r="X21" i="1"/>
  <c r="W21" i="1"/>
  <c r="U21" i="1"/>
  <c r="V21" i="1"/>
  <c r="X47" i="1"/>
  <c r="U47" i="1"/>
  <c r="S91" i="1"/>
  <c r="W47" i="1"/>
  <c r="V47" i="1"/>
  <c r="T99" i="1"/>
  <c r="X99" i="1"/>
  <c r="H43" i="15" s="1"/>
  <c r="X61" i="1"/>
  <c r="W61" i="1"/>
  <c r="U61" i="1"/>
  <c r="S93" i="1"/>
  <c r="V61" i="1"/>
  <c r="V42" i="1"/>
  <c r="X42" i="1"/>
  <c r="U42" i="1"/>
  <c r="W42" i="1"/>
  <c r="X20" i="1"/>
  <c r="U20" i="1"/>
  <c r="S97" i="1"/>
  <c r="W20" i="1"/>
  <c r="V20" i="1"/>
  <c r="U48" i="1"/>
  <c r="S101" i="1"/>
  <c r="X48" i="1"/>
  <c r="W48" i="1"/>
  <c r="V48" i="1"/>
  <c r="T54" i="1"/>
  <c r="Y54" i="1"/>
  <c r="T34" i="1"/>
  <c r="Y34" i="1"/>
  <c r="Y55" i="1"/>
  <c r="W62" i="1"/>
  <c r="X62" i="1"/>
  <c r="U62" i="1"/>
  <c r="S103" i="1"/>
  <c r="V62" i="1"/>
  <c r="U40" i="1"/>
  <c r="S90" i="1"/>
  <c r="V40" i="1"/>
  <c r="W40" i="1"/>
  <c r="X40" i="1"/>
  <c r="U19" i="1"/>
  <c r="X19" i="1"/>
  <c r="V19" i="1"/>
  <c r="S87" i="1"/>
  <c r="W19" i="1"/>
  <c r="X96" i="1"/>
  <c r="H13" i="15" s="1"/>
  <c r="T96" i="1"/>
  <c r="V49" i="1"/>
  <c r="X49" i="1"/>
  <c r="W49" i="1"/>
  <c r="U49" i="1"/>
  <c r="X92" i="1"/>
  <c r="Z73" i="15" s="1"/>
  <c r="T92" i="1"/>
  <c r="V63" i="1"/>
  <c r="U63" i="1"/>
  <c r="X63" i="1"/>
  <c r="W63" i="1"/>
  <c r="V43" i="1"/>
  <c r="W43" i="1"/>
  <c r="U43" i="1"/>
  <c r="X43" i="1"/>
  <c r="V36" i="1"/>
  <c r="U36" i="1"/>
  <c r="W36" i="1"/>
  <c r="X36" i="1"/>
  <c r="U22" i="1"/>
  <c r="V22" i="1"/>
  <c r="W22" i="1"/>
  <c r="X22" i="1"/>
  <c r="W50" i="1"/>
  <c r="V50" i="1"/>
  <c r="U50" i="1"/>
  <c r="X50" i="1"/>
  <c r="X89" i="1" l="1"/>
  <c r="Z43" i="15" s="1"/>
  <c r="U13" i="1"/>
  <c r="X13" i="1"/>
  <c r="V13" i="1"/>
  <c r="Y14" i="1"/>
  <c r="T12" i="1"/>
  <c r="U15" i="1"/>
  <c r="W15" i="1"/>
  <c r="X15" i="1"/>
  <c r="X86" i="1"/>
  <c r="Z13" i="15" s="1"/>
  <c r="AE17" i="15" s="1"/>
  <c r="T56" i="1"/>
  <c r="T14" i="1"/>
  <c r="T35" i="1"/>
  <c r="Y56" i="1"/>
  <c r="T57" i="1"/>
  <c r="T33" i="1"/>
  <c r="Y35" i="1"/>
  <c r="T27" i="1"/>
  <c r="Y27" i="1"/>
  <c r="T88" i="1"/>
  <c r="X88" i="1"/>
  <c r="Z33" i="15" s="1"/>
  <c r="Y26" i="1"/>
  <c r="T26" i="1"/>
  <c r="T98" i="1"/>
  <c r="X98" i="1"/>
  <c r="H33" i="15" s="1"/>
  <c r="T28" i="1"/>
  <c r="Y28" i="1"/>
  <c r="Y29" i="1"/>
  <c r="T29" i="1"/>
  <c r="Y63" i="1"/>
  <c r="T63" i="1"/>
  <c r="T90" i="1"/>
  <c r="X90" i="1"/>
  <c r="Z53" i="15" s="1"/>
  <c r="Y49" i="1"/>
  <c r="T49" i="1"/>
  <c r="T62" i="1"/>
  <c r="Y62" i="1"/>
  <c r="F47" i="15"/>
  <c r="F46" i="15"/>
  <c r="N46" i="15"/>
  <c r="T43" i="15"/>
  <c r="T91" i="1"/>
  <c r="X91" i="1"/>
  <c r="Z63" i="15" s="1"/>
  <c r="N16" i="15"/>
  <c r="F16" i="15"/>
  <c r="T13" i="15"/>
  <c r="F17" i="15"/>
  <c r="T40" i="1"/>
  <c r="Y40" i="1"/>
  <c r="Y47" i="1"/>
  <c r="T47" i="1"/>
  <c r="T64" i="1"/>
  <c r="Y64" i="1"/>
  <c r="Y36" i="1"/>
  <c r="T36" i="1"/>
  <c r="T19" i="1"/>
  <c r="Y19" i="1"/>
  <c r="T101" i="1"/>
  <c r="X101" i="1"/>
  <c r="H63" i="15" s="1"/>
  <c r="T97" i="1"/>
  <c r="X97" i="1"/>
  <c r="H23" i="15" s="1"/>
  <c r="T42" i="1"/>
  <c r="Y42" i="1"/>
  <c r="T93" i="1"/>
  <c r="X93" i="1"/>
  <c r="Z83" i="15" s="1"/>
  <c r="Y21" i="1"/>
  <c r="T21" i="1"/>
  <c r="T100" i="1"/>
  <c r="X100" i="1"/>
  <c r="H53" i="15" s="1"/>
  <c r="T50" i="1"/>
  <c r="Y50" i="1"/>
  <c r="Y22" i="1"/>
  <c r="T22" i="1"/>
  <c r="T43" i="1"/>
  <c r="Y43" i="1"/>
  <c r="T76" i="15"/>
  <c r="AE76" i="15"/>
  <c r="AE77" i="15"/>
  <c r="N73" i="15"/>
  <c r="X87" i="1"/>
  <c r="Z23" i="15" s="1"/>
  <c r="T87" i="1"/>
  <c r="AE16" i="15"/>
  <c r="X103" i="1"/>
  <c r="H83" i="15" s="1"/>
  <c r="T103" i="1"/>
  <c r="Y48" i="1"/>
  <c r="T48" i="1"/>
  <c r="Y20" i="1"/>
  <c r="T20" i="1"/>
  <c r="T61" i="1"/>
  <c r="Y61" i="1"/>
  <c r="AE47" i="15"/>
  <c r="T46" i="15"/>
  <c r="N43" i="15"/>
  <c r="AE46" i="15"/>
  <c r="Y41" i="1"/>
  <c r="T41" i="1"/>
  <c r="F77" i="15"/>
  <c r="F76" i="15"/>
  <c r="N76" i="15"/>
  <c r="T73" i="15"/>
  <c r="T13" i="1" l="1"/>
  <c r="Y13" i="1"/>
  <c r="N13" i="15"/>
  <c r="T16" i="15"/>
  <c r="Y15" i="1"/>
  <c r="T15" i="1"/>
  <c r="F36" i="15"/>
  <c r="F37" i="15"/>
  <c r="T33" i="15"/>
  <c r="N36" i="15"/>
  <c r="T36" i="15"/>
  <c r="AE36" i="15"/>
  <c r="AE37" i="15"/>
  <c r="N33" i="15"/>
  <c r="N56" i="15"/>
  <c r="F56" i="15"/>
  <c r="F57" i="15"/>
  <c r="T53" i="15"/>
  <c r="AE86" i="15"/>
  <c r="T86" i="15"/>
  <c r="N83" i="15"/>
  <c r="AE87" i="15"/>
  <c r="T23" i="15"/>
  <c r="F27" i="15"/>
  <c r="F26" i="15"/>
  <c r="N26" i="15"/>
  <c r="T56" i="15"/>
  <c r="AE57" i="15"/>
  <c r="N53" i="15"/>
  <c r="AE56" i="15"/>
  <c r="T26" i="15"/>
  <c r="N23" i="15"/>
  <c r="AE26" i="15"/>
  <c r="AE27" i="15"/>
  <c r="F67" i="15"/>
  <c r="N66" i="15"/>
  <c r="F66" i="15"/>
  <c r="T63" i="15"/>
  <c r="T66" i="15"/>
  <c r="AE67" i="15"/>
  <c r="AE66" i="15"/>
  <c r="N63" i="15"/>
  <c r="F87" i="15"/>
  <c r="N86" i="15"/>
  <c r="T83" i="15"/>
  <c r="F86" i="15"/>
</calcChain>
</file>

<file path=xl/sharedStrings.xml><?xml version="1.0" encoding="utf-8"?>
<sst xmlns="http://schemas.openxmlformats.org/spreadsheetml/2006/main" count="1080" uniqueCount="311">
  <si>
    <t>-</t>
  </si>
  <si>
    <t>France</t>
  </si>
  <si>
    <t>D</t>
  </si>
  <si>
    <t>F</t>
  </si>
  <si>
    <t>A</t>
  </si>
  <si>
    <t>Country</t>
  </si>
  <si>
    <t>Language</t>
  </si>
  <si>
    <t>English</t>
  </si>
  <si>
    <t>:</t>
  </si>
  <si>
    <t>Spanish</t>
  </si>
  <si>
    <t>German</t>
  </si>
  <si>
    <t>Italian</t>
  </si>
  <si>
    <t>Portuguese</t>
  </si>
  <si>
    <t>Polish</t>
  </si>
  <si>
    <t>Lithuanian</t>
  </si>
  <si>
    <t>Hungarian</t>
  </si>
  <si>
    <t>Romanian</t>
  </si>
  <si>
    <t>Dutch</t>
  </si>
  <si>
    <t>Danish</t>
  </si>
  <si>
    <t>Maltese</t>
  </si>
  <si>
    <t>Slovenian</t>
  </si>
  <si>
    <t>Finnish</t>
  </si>
  <si>
    <t>Serbian</t>
  </si>
  <si>
    <t>Albanian</t>
  </si>
  <si>
    <t>Bulgarian</t>
  </si>
  <si>
    <t>Greek</t>
  </si>
  <si>
    <t>Russian</t>
  </si>
  <si>
    <t>Turkish</t>
  </si>
  <si>
    <t>Croatian</t>
  </si>
  <si>
    <t>Vietnamese</t>
  </si>
  <si>
    <t>Bahasa</t>
  </si>
  <si>
    <t>Malay</t>
  </si>
  <si>
    <t>Arabic</t>
  </si>
  <si>
    <t>Chinese</t>
  </si>
  <si>
    <t>P</t>
  </si>
  <si>
    <t>Addis Ababa</t>
  </si>
  <si>
    <t>Adelaide</t>
  </si>
  <si>
    <t>Aden</t>
  </si>
  <si>
    <t>Algiers</t>
  </si>
  <si>
    <t>Almaty</t>
  </si>
  <si>
    <t xml:space="preserve">Amman </t>
  </si>
  <si>
    <t xml:space="preserve">Amsterdam </t>
  </si>
  <si>
    <t xml:space="preserve">Anadyr </t>
  </si>
  <si>
    <t xml:space="preserve">Anchorage </t>
  </si>
  <si>
    <t xml:space="preserve">Ankara </t>
  </si>
  <si>
    <t>Antananarivo</t>
  </si>
  <si>
    <t>Asuncion</t>
  </si>
  <si>
    <t xml:space="preserve">Athens </t>
  </si>
  <si>
    <t xml:space="preserve">Atlanta </t>
  </si>
  <si>
    <t>Auckland</t>
  </si>
  <si>
    <t>Baghdad</t>
  </si>
  <si>
    <t>Bangkok</t>
  </si>
  <si>
    <t xml:space="preserve">Barcelona </t>
  </si>
  <si>
    <t>Beijing</t>
  </si>
  <si>
    <t xml:space="preserve">Beirut </t>
  </si>
  <si>
    <t xml:space="preserve">Belgrade </t>
  </si>
  <si>
    <t xml:space="preserve">Berlin </t>
  </si>
  <si>
    <t>Bogota</t>
  </si>
  <si>
    <t xml:space="preserve">Boston </t>
  </si>
  <si>
    <t>Brasilia</t>
  </si>
  <si>
    <t>Brisbane</t>
  </si>
  <si>
    <t xml:space="preserve">Brussels </t>
  </si>
  <si>
    <t xml:space="preserve">Bucharest </t>
  </si>
  <si>
    <t xml:space="preserve">Budapest </t>
  </si>
  <si>
    <t>Buenos Aires</t>
  </si>
  <si>
    <t>Cairo</t>
  </si>
  <si>
    <t>Canberra</t>
  </si>
  <si>
    <t>Cape Town</t>
  </si>
  <si>
    <t>Caracas</t>
  </si>
  <si>
    <t>Casablanca</t>
  </si>
  <si>
    <t xml:space="preserve">Chicago </t>
  </si>
  <si>
    <t xml:space="preserve">Copenhagen </t>
  </si>
  <si>
    <t>Darwin</t>
  </si>
  <si>
    <t xml:space="preserve">Denver </t>
  </si>
  <si>
    <t xml:space="preserve">Detroit </t>
  </si>
  <si>
    <t>Dhaka</t>
  </si>
  <si>
    <t>Dubai</t>
  </si>
  <si>
    <t xml:space="preserve">Dublin </t>
  </si>
  <si>
    <t xml:space="preserve">Edmonton </t>
  </si>
  <si>
    <t xml:space="preserve">Frankfurt </t>
  </si>
  <si>
    <t xml:space="preserve">Geneva </t>
  </si>
  <si>
    <t>Guatemala</t>
  </si>
  <si>
    <t xml:space="preserve">Halifax </t>
  </si>
  <si>
    <t>Hanoi</t>
  </si>
  <si>
    <t>Harare</t>
  </si>
  <si>
    <t xml:space="preserve">Havana </t>
  </si>
  <si>
    <t xml:space="preserve">Helsinki </t>
  </si>
  <si>
    <t>Hong Kong</t>
  </si>
  <si>
    <t>Honolulu</t>
  </si>
  <si>
    <t xml:space="preserve">Houston </t>
  </si>
  <si>
    <t xml:space="preserve">Indianapolis </t>
  </si>
  <si>
    <t>Lima</t>
  </si>
  <si>
    <t xml:space="preserve">Montreal </t>
  </si>
  <si>
    <t xml:space="preserve">Moscow </t>
  </si>
  <si>
    <t>Mumbai</t>
  </si>
  <si>
    <t>Nairobi</t>
  </si>
  <si>
    <t xml:space="preserve">Nassau </t>
  </si>
  <si>
    <t>New Delhi</t>
  </si>
  <si>
    <t xml:space="preserve">New Orleans </t>
  </si>
  <si>
    <t xml:space="preserve">New York </t>
  </si>
  <si>
    <t xml:space="preserve">Oslo </t>
  </si>
  <si>
    <t xml:space="preserve">Ottawa </t>
  </si>
  <si>
    <t xml:space="preserve">Paris </t>
  </si>
  <si>
    <t>Perth</t>
  </si>
  <si>
    <t xml:space="preserve">Philadelphia </t>
  </si>
  <si>
    <t>Phoenix</t>
  </si>
  <si>
    <t xml:space="preserve">Prague </t>
  </si>
  <si>
    <t>Reykjavik</t>
  </si>
  <si>
    <t>Rio de Janeiro</t>
  </si>
  <si>
    <t>Riyadh</t>
  </si>
  <si>
    <t xml:space="preserve">Rome </t>
  </si>
  <si>
    <t xml:space="preserve">San Francisco </t>
  </si>
  <si>
    <t>San Juan</t>
  </si>
  <si>
    <t>San Salvador</t>
  </si>
  <si>
    <t>Santiago</t>
  </si>
  <si>
    <t>Santo Domingo</t>
  </si>
  <si>
    <t>Sao Paulo</t>
  </si>
  <si>
    <t xml:space="preserve">Seattle </t>
  </si>
  <si>
    <t>Seoul</t>
  </si>
  <si>
    <t>Shanghai</t>
  </si>
  <si>
    <t>Singapore</t>
  </si>
  <si>
    <t xml:space="preserve">Sofia </t>
  </si>
  <si>
    <t xml:space="preserve">St. John's </t>
  </si>
  <si>
    <t xml:space="preserve">St. Paul </t>
  </si>
  <si>
    <t xml:space="preserve">Stockholm </t>
  </si>
  <si>
    <t>Suva</t>
  </si>
  <si>
    <t>Sydney</t>
  </si>
  <si>
    <t>Taipei</t>
  </si>
  <si>
    <t xml:space="preserve">Tallinn </t>
  </si>
  <si>
    <t>Tashkent</t>
  </si>
  <si>
    <t>Tegucigalpa</t>
  </si>
  <si>
    <t xml:space="preserve">Tehran </t>
  </si>
  <si>
    <t>Tokyo</t>
  </si>
  <si>
    <t xml:space="preserve">Toronto </t>
  </si>
  <si>
    <t xml:space="preserve">Vancouver </t>
  </si>
  <si>
    <t xml:space="preserve">Vienna </t>
  </si>
  <si>
    <t xml:space="preserve">Vladivostok </t>
  </si>
  <si>
    <t xml:space="preserve">Warsaw </t>
  </si>
  <si>
    <t xml:space="preserve">Washington DC </t>
  </si>
  <si>
    <t xml:space="preserve">Winnipeg </t>
  </si>
  <si>
    <t>Yangon</t>
  </si>
  <si>
    <t xml:space="preserve">Zagreb </t>
  </si>
  <si>
    <t xml:space="preserve">Zürich </t>
  </si>
  <si>
    <t>City</t>
  </si>
  <si>
    <t>r musadya</t>
  </si>
  <si>
    <t>Chelsea</t>
  </si>
  <si>
    <t>Barcelona</t>
  </si>
  <si>
    <t>Marseille</t>
  </si>
  <si>
    <t>Lyon</t>
  </si>
  <si>
    <t>Arsenal</t>
  </si>
  <si>
    <t>Real Madrid</t>
  </si>
  <si>
    <t>Team Name</t>
  </si>
  <si>
    <t>Home Stadium</t>
  </si>
  <si>
    <t>B</t>
  </si>
  <si>
    <t>C</t>
  </si>
  <si>
    <t>E</t>
  </si>
  <si>
    <t>G</t>
  </si>
  <si>
    <t>H</t>
  </si>
  <si>
    <t>Group</t>
  </si>
  <si>
    <t>vs</t>
  </si>
  <si>
    <t>Manchester United</t>
  </si>
  <si>
    <t>England</t>
  </si>
  <si>
    <t>AC Milan</t>
  </si>
  <si>
    <t>Portugal</t>
  </si>
  <si>
    <t>Ukraine</t>
  </si>
  <si>
    <t>Netherland</t>
  </si>
  <si>
    <t>Giuseppe Meazza</t>
  </si>
  <si>
    <t>Nou Camp</t>
  </si>
  <si>
    <t>Santiago Bernabeu</t>
  </si>
  <si>
    <t>Allianz Arena</t>
  </si>
  <si>
    <t>Stade de Gerland</t>
  </si>
  <si>
    <t>Stade Velodrome</t>
  </si>
  <si>
    <t>Old Trafford</t>
  </si>
  <si>
    <t>Internazionale</t>
  </si>
  <si>
    <t>Stamford Bridge</t>
  </si>
  <si>
    <t>Emirates Stadium</t>
  </si>
  <si>
    <t>Benfica</t>
  </si>
  <si>
    <t>Valencia</t>
  </si>
  <si>
    <t>Basel</t>
  </si>
  <si>
    <t>Ajax</t>
  </si>
  <si>
    <t>Shakhtar Donetsk</t>
  </si>
  <si>
    <t>Amsterdam Arena</t>
  </si>
  <si>
    <t>Donbass Arena</t>
  </si>
  <si>
    <t>Luzhniki</t>
  </si>
  <si>
    <t>Mestalla</t>
  </si>
  <si>
    <t>St. Jakob Park</t>
  </si>
  <si>
    <t>Estadio da Luz</t>
  </si>
  <si>
    <t>Manchester City</t>
  </si>
  <si>
    <t>Napoli</t>
  </si>
  <si>
    <t>CSKA Moscow</t>
  </si>
  <si>
    <t>Lille</t>
  </si>
  <si>
    <t>Trabzonspor</t>
  </si>
  <si>
    <t>Oţelul Galaţi</t>
  </si>
  <si>
    <t>Bayer Leverkusen</t>
  </si>
  <si>
    <t>Genk</t>
  </si>
  <si>
    <t>Olympiacos</t>
  </si>
  <si>
    <t>Borussia Dortmund</t>
  </si>
  <si>
    <t>Porto</t>
  </si>
  <si>
    <t>Zenit St. Petersburg</t>
  </si>
  <si>
    <t>APOEL</t>
  </si>
  <si>
    <t>Bate Borisov</t>
  </si>
  <si>
    <t>Viktoria Plzeň</t>
  </si>
  <si>
    <t>Villarreal</t>
  </si>
  <si>
    <t>Dinamo Zagreb</t>
  </si>
  <si>
    <t>El Madrigal</t>
  </si>
  <si>
    <t>City of Manchester</t>
  </si>
  <si>
    <t>San Paolo</t>
  </si>
  <si>
    <t>Stade Lille-Metropole</t>
  </si>
  <si>
    <t>Hüseyin Avni Aker</t>
  </si>
  <si>
    <t>Oţelul</t>
  </si>
  <si>
    <t>Maksimir</t>
  </si>
  <si>
    <t>Bay Arena</t>
  </si>
  <si>
    <t>Cristal Arena</t>
  </si>
  <si>
    <t>Karaiskakis</t>
  </si>
  <si>
    <t>Signal Iduna Park</t>
  </si>
  <si>
    <t>Estádio do Dragão</t>
  </si>
  <si>
    <t>Petrovsky Stadium</t>
  </si>
  <si>
    <t>GSP Stadium</t>
  </si>
  <si>
    <t>City Stadium</t>
  </si>
  <si>
    <t>Štruncovy Sady Stadion</t>
  </si>
  <si>
    <t>Gruppenphase</t>
  </si>
  <si>
    <t>Spiele</t>
  </si>
  <si>
    <t>Tabellen</t>
  </si>
  <si>
    <t>Besuchen Sie exceltabelle.com fur mehrere vorlagen und updates</t>
  </si>
  <si>
    <t>Spiel</t>
  </si>
  <si>
    <t>Tag</t>
  </si>
  <si>
    <t>Gruppe</t>
  </si>
  <si>
    <t>Datum</t>
  </si>
  <si>
    <t>Ergebnis</t>
  </si>
  <si>
    <t>Gruppe A</t>
  </si>
  <si>
    <t>S</t>
  </si>
  <si>
    <t>U</t>
  </si>
  <si>
    <t>V</t>
  </si>
  <si>
    <t>T - G</t>
  </si>
  <si>
    <t>Gruppe H</t>
  </si>
  <si>
    <t>Gruppe G</t>
  </si>
  <si>
    <t>Gruppe F</t>
  </si>
  <si>
    <t>Gruppe E</t>
  </si>
  <si>
    <t>Gruppe D</t>
  </si>
  <si>
    <t>Gruppe C</t>
  </si>
  <si>
    <t>Gruppe B</t>
  </si>
  <si>
    <t>Heim</t>
  </si>
  <si>
    <t>Gast</t>
  </si>
  <si>
    <t>Stadion</t>
  </si>
  <si>
    <t>Achtelfinale</t>
  </si>
  <si>
    <t>Zeit</t>
  </si>
  <si>
    <t>Reguläre Spielzeit</t>
  </si>
  <si>
    <t>Verlängerung</t>
  </si>
  <si>
    <t>Elfmeterschießen</t>
  </si>
  <si>
    <t>Viertelfinale</t>
  </si>
  <si>
    <t>Halbfinale</t>
  </si>
  <si>
    <t>Finale</t>
  </si>
  <si>
    <t>Sieger Spiel Achtelfinale 1</t>
  </si>
  <si>
    <t>Sieger Spiel Achtelfinale 2</t>
  </si>
  <si>
    <t>Sieger Spiel Achtelfinale 3</t>
  </si>
  <si>
    <t>Sieger Spiel Achtelfinale 4</t>
  </si>
  <si>
    <t>Sieger Spiel Achtelfinale 5</t>
  </si>
  <si>
    <t>Sieger Spiel Achtelfinale 6</t>
  </si>
  <si>
    <t>Sieger Spiel Achtelfinale 7</t>
  </si>
  <si>
    <t>Sieger Spiel Achtelfinale 8</t>
  </si>
  <si>
    <t>Viertelfinale 1</t>
  </si>
  <si>
    <t>Viertelfinale 2</t>
  </si>
  <si>
    <t>Viertelfinale 3</t>
  </si>
  <si>
    <t>Viertelfinale 4</t>
  </si>
  <si>
    <t>Sieger Spiel Viertelfinale 1</t>
  </si>
  <si>
    <t>Sieger Spiel Viertelfinale 2</t>
  </si>
  <si>
    <t>Sieger Spiel Viertelfinale 3</t>
  </si>
  <si>
    <t>Sieger Spiel Viertelfinale 4</t>
  </si>
  <si>
    <t>Halbfinale 1</t>
  </si>
  <si>
    <t>Halbfinale 2</t>
  </si>
  <si>
    <t>Land</t>
  </si>
  <si>
    <t>Rückspiel</t>
  </si>
  <si>
    <t>Hinspiel</t>
  </si>
  <si>
    <t>Deutschland</t>
  </si>
  <si>
    <t>Spanien</t>
  </si>
  <si>
    <t>Italien</t>
  </si>
  <si>
    <t>Russland</t>
  </si>
  <si>
    <t>Frankreich</t>
  </si>
  <si>
    <t>Türkei</t>
  </si>
  <si>
    <t>Schweiz</t>
  </si>
  <si>
    <t>Rumänien</t>
  </si>
  <si>
    <t>Kroatien</t>
  </si>
  <si>
    <t>Belgien</t>
  </si>
  <si>
    <t>Griechenland</t>
  </si>
  <si>
    <t>Zypern</t>
  </si>
  <si>
    <t>Weißrussland</t>
  </si>
  <si>
    <t>Tschechisch</t>
  </si>
  <si>
    <t>Gesamtergebnis</t>
  </si>
  <si>
    <t>Auslosung : 16. März. 2012</t>
  </si>
  <si>
    <t>Heim - Hinspiel</t>
  </si>
  <si>
    <t>Gast - Hinspiel</t>
  </si>
  <si>
    <t>Achtelfinale - Finale</t>
  </si>
  <si>
    <t xml:space="preserve">Bei Punktgleichheit zweier oder mehrerer Mannschaften nach </t>
  </si>
  <si>
    <t>den Gruppenspielen wurde die Platzierung durch folgende Kriterien ermittelt:</t>
  </si>
  <si>
    <t>a) Anzahl Punkte im direkten Vergleich</t>
  </si>
  <si>
    <t>b) Tordifferenz im direkten Vergleich</t>
  </si>
  <si>
    <t>c) Anzahl Auswärtstore im direkten Vergleich</t>
  </si>
  <si>
    <t>d) Tordifferenz aus allen Gruppenspielen</t>
  </si>
  <si>
    <t>f) Klub-Koeffizienten</t>
  </si>
  <si>
    <t>e) Höhere Anzahl erzielter Tore</t>
  </si>
  <si>
    <t xml:space="preserve">Die Gruppensieger und -zweiten qualifizierten sich für </t>
  </si>
  <si>
    <t>das Achtelfinale</t>
  </si>
  <si>
    <t xml:space="preserve">Die Gruppendritten spielten im Sechzehntelfinale </t>
  </si>
  <si>
    <t>der UEFA Europa League</t>
  </si>
  <si>
    <t>Achtelfinale Auslosung (9. Dez. 2011)</t>
  </si>
  <si>
    <t>Gruppensieger</t>
  </si>
  <si>
    <t>Auslosung</t>
  </si>
  <si>
    <t>Gruppenzweiten</t>
  </si>
  <si>
    <t>19. MAI 2012, Allianz Arena, München, DEUTSCHLAND</t>
  </si>
  <si>
    <t>UEFA CHAMPIONS LEAGUE 2011/2012 MEISTER &gt;&gt;&gt;&gt;</t>
  </si>
  <si>
    <t>Bayern München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</si>
</sst>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0" formatCode="[$-409]d\-mmm;@"/>
    <numFmt numFmtId="171" formatCode="h:mm;@"/>
    <numFmt numFmtId="180" formatCode="[$-407]d\.\ mmm\.\ yy;@"/>
  </numFmts>
  <fonts count="19" x14ac:knownFonts="1">
    <font>
      <sz val="10"/>
      <name val="Arial"/>
    </font>
    <font>
      <sz val="10"/>
      <name val="Verdana"/>
      <family val="2"/>
    </font>
    <font>
      <sz val="8"/>
      <name val="Arial"/>
    </font>
    <font>
      <u/>
      <sz val="10"/>
      <color indexed="12"/>
      <name val="Arial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sz val="10"/>
      <color indexed="10"/>
      <name val="Verdana"/>
      <family val="2"/>
    </font>
    <font>
      <sz val="10"/>
      <color indexed="9"/>
      <name val="Verdana"/>
      <family val="2"/>
    </font>
    <font>
      <sz val="10"/>
      <color indexed="9"/>
      <name val="Arial"/>
    </font>
    <font>
      <b/>
      <u/>
      <sz val="11"/>
      <color indexed="9"/>
      <name val="Verdana"/>
      <family val="2"/>
    </font>
    <font>
      <b/>
      <sz val="10"/>
      <color indexed="12"/>
      <name val="Verdana"/>
      <family val="2"/>
    </font>
    <font>
      <b/>
      <sz val="10"/>
      <color indexed="61"/>
      <name val="Verdana"/>
      <family val="2"/>
    </font>
    <font>
      <b/>
      <sz val="18"/>
      <color indexed="12"/>
      <name val="Verdana"/>
      <family val="2"/>
    </font>
    <font>
      <sz val="9"/>
      <name val="Verdana"/>
      <family val="2"/>
    </font>
    <font>
      <sz val="12"/>
      <name val="Verdana"/>
      <family val="2"/>
    </font>
    <font>
      <b/>
      <sz val="16"/>
      <color theme="0"/>
      <name val="Calibri"/>
      <family val="2"/>
      <scheme val="minor"/>
    </font>
    <font>
      <b/>
      <sz val="10"/>
      <color rgb="FF0070C0"/>
      <name val="Verdana"/>
      <family val="2"/>
    </font>
    <font>
      <b/>
      <sz val="10"/>
      <color theme="5" tint="-0.24997711111789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171" fontId="1" fillId="0" borderId="0" xfId="0" applyNumberFormat="1" applyFont="1" applyBorder="1" applyAlignment="1" applyProtection="1">
      <alignment horizontal="center" vertical="center" shrinkToFit="1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4" xfId="0" applyFont="1" applyBorder="1" applyAlignment="1" applyProtection="1">
      <alignment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9" fillId="0" borderId="0" xfId="0" applyFont="1" applyBorder="1" applyProtection="1">
      <protection hidden="1"/>
    </xf>
    <xf numFmtId="0" fontId="1" fillId="0" borderId="8" xfId="0" applyFont="1" applyBorder="1" applyAlignment="1" applyProtection="1">
      <alignment horizontal="left" vertical="center" inden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 inden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left" vertical="center" indent="1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10" xfId="0" applyFont="1" applyFill="1" applyBorder="1" applyAlignment="1" applyProtection="1">
      <alignment vertical="center"/>
      <protection hidden="1"/>
    </xf>
    <xf numFmtId="0" fontId="1" fillId="0" borderId="11" xfId="0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right" vertical="center"/>
      <protection hidden="1"/>
    </xf>
    <xf numFmtId="0" fontId="1" fillId="0" borderId="2" xfId="0" applyFont="1" applyBorder="1" applyProtection="1">
      <protection hidden="1"/>
    </xf>
    <xf numFmtId="0" fontId="1" fillId="0" borderId="9" xfId="0" applyFont="1" applyBorder="1" applyProtection="1">
      <protection hidden="1"/>
    </xf>
    <xf numFmtId="0" fontId="1" fillId="0" borderId="10" xfId="0" applyFont="1" applyBorder="1" applyProtection="1"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Protection="1">
      <protection hidden="1"/>
    </xf>
    <xf numFmtId="0" fontId="4" fillId="0" borderId="2" xfId="0" applyFont="1" applyFill="1" applyBorder="1" applyAlignment="1" applyProtection="1">
      <alignment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0" fontId="1" fillId="0" borderId="1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11" fillId="0" borderId="0" xfId="0" applyFont="1" applyBorder="1" applyProtection="1">
      <protection hidden="1"/>
    </xf>
    <xf numFmtId="0" fontId="12" fillId="0" borderId="0" xfId="0" applyFont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0" borderId="8" xfId="0" applyFont="1" applyBorder="1" applyAlignment="1" applyProtection="1">
      <alignment horizontal="right" vertical="center"/>
      <protection hidden="1"/>
    </xf>
    <xf numFmtId="0" fontId="1" fillId="0" borderId="1" xfId="0" applyFont="1" applyBorder="1" applyAlignment="1" applyProtection="1">
      <alignment horizontal="right" vertical="center"/>
      <protection hidden="1"/>
    </xf>
    <xf numFmtId="0" fontId="4" fillId="0" borderId="1" xfId="0" applyFont="1" applyFill="1" applyBorder="1" applyAlignment="1" applyProtection="1">
      <alignment horizontal="right" vertical="center"/>
      <protection hidden="1"/>
    </xf>
    <xf numFmtId="0" fontId="1" fillId="0" borderId="1" xfId="0" applyFont="1" applyFill="1" applyBorder="1" applyAlignment="1" applyProtection="1">
      <alignment horizontal="right" vertical="center"/>
      <protection hidden="1"/>
    </xf>
    <xf numFmtId="0" fontId="1" fillId="0" borderId="9" xfId="0" applyFont="1" applyFill="1" applyBorder="1" applyAlignment="1" applyProtection="1">
      <alignment horizontal="right" vertical="center"/>
      <protection hidden="1"/>
    </xf>
    <xf numFmtId="0" fontId="1" fillId="0" borderId="0" xfId="0" applyFont="1" applyFill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right"/>
      <protection hidden="1"/>
    </xf>
    <xf numFmtId="0" fontId="1" fillId="0" borderId="10" xfId="0" applyFont="1" applyBorder="1" applyAlignment="1" applyProtection="1">
      <alignment horizontal="right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right"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0" fontId="1" fillId="0" borderId="0" xfId="0" applyFont="1"/>
    <xf numFmtId="0" fontId="5" fillId="0" borderId="0" xfId="0" applyFont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Border="1" applyProtection="1">
      <protection hidden="1"/>
    </xf>
    <xf numFmtId="0" fontId="8" fillId="0" borderId="0" xfId="0" applyFont="1" applyBorder="1" applyProtection="1">
      <protection hidden="1"/>
    </xf>
    <xf numFmtId="0" fontId="1" fillId="0" borderId="12" xfId="0" applyFont="1" applyBorder="1" applyAlignment="1">
      <alignment horizontal="left" vertical="center" indent="1"/>
    </xf>
    <xf numFmtId="0" fontId="4" fillId="2" borderId="12" xfId="0" applyFont="1" applyFill="1" applyBorder="1" applyAlignment="1">
      <alignment horizontal="center"/>
    </xf>
    <xf numFmtId="0" fontId="8" fillId="0" borderId="0" xfId="0" applyFont="1"/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4" fillId="0" borderId="0" xfId="0" quotePrefix="1" applyFont="1" applyProtection="1">
      <protection hidden="1"/>
    </xf>
    <xf numFmtId="0" fontId="8" fillId="0" borderId="0" xfId="0" applyFont="1" applyFill="1" applyProtection="1">
      <protection hidden="1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1" fillId="0" borderId="10" xfId="0" applyFont="1" applyBorder="1" applyProtection="1"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" fillId="3" borderId="8" xfId="0" applyFont="1" applyFill="1" applyBorder="1" applyAlignment="1" applyProtection="1">
      <alignment vertical="center"/>
      <protection locked="0"/>
    </xf>
    <xf numFmtId="0" fontId="1" fillId="3" borderId="3" xfId="0" applyFont="1" applyFill="1" applyBorder="1" applyAlignment="1" applyProtection="1">
      <alignment vertical="center"/>
      <protection locked="0"/>
    </xf>
    <xf numFmtId="0" fontId="1" fillId="3" borderId="3" xfId="0" applyNumberFormat="1" applyFont="1" applyFill="1" applyBorder="1" applyAlignment="1" applyProtection="1">
      <alignment horizontal="center" vertical="center" shrinkToFit="1"/>
      <protection locked="0"/>
    </xf>
    <xf numFmtId="171" fontId="1" fillId="3" borderId="0" xfId="0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1" fillId="3" borderId="0" xfId="0" applyFont="1" applyFill="1" applyBorder="1" applyAlignment="1" applyProtection="1">
      <alignment vertical="center"/>
      <protection locked="0"/>
    </xf>
    <xf numFmtId="0" fontId="1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15" fontId="1" fillId="3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170" fontId="1" fillId="0" borderId="0" xfId="0" applyNumberFormat="1" applyFont="1" applyBorder="1" applyAlignment="1" applyProtection="1">
      <alignment horizontal="right" vertical="center" shrinkToFit="1"/>
      <protection locked="0"/>
    </xf>
    <xf numFmtId="171" fontId="1" fillId="0" borderId="0" xfId="0" applyNumberFormat="1" applyFont="1" applyBorder="1" applyAlignment="1" applyProtection="1">
      <alignment horizontal="right" vertical="center" shrinkToFit="1"/>
      <protection locked="0"/>
    </xf>
    <xf numFmtId="0" fontId="1" fillId="0" borderId="0" xfId="0" applyFont="1" applyBorder="1" applyAlignment="1" applyProtection="1">
      <alignment horizontal="right" vertical="center" shrinkToFit="1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1" fillId="3" borderId="9" xfId="0" applyFont="1" applyFill="1" applyBorder="1" applyAlignment="1" applyProtection="1">
      <alignment vertical="center"/>
      <protection locked="0"/>
    </xf>
    <xf numFmtId="0" fontId="1" fillId="3" borderId="10" xfId="0" applyFont="1" applyFill="1" applyBorder="1" applyAlignment="1" applyProtection="1">
      <alignment vertical="center"/>
      <protection locked="0"/>
    </xf>
    <xf numFmtId="0" fontId="1" fillId="3" borderId="11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5" fillId="0" borderId="1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15" fontId="1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vertical="center"/>
      <protection locked="0"/>
    </xf>
    <xf numFmtId="0" fontId="7" fillId="0" borderId="14" xfId="0" applyFont="1" applyBorder="1" applyAlignment="1" applyProtection="1">
      <alignment vertical="center"/>
      <protection locked="0"/>
    </xf>
    <xf numFmtId="0" fontId="7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1" fillId="0" borderId="19" xfId="0" applyFont="1" applyBorder="1" applyAlignment="1" applyProtection="1">
      <alignment vertical="center"/>
      <protection locked="0"/>
    </xf>
    <xf numFmtId="0" fontId="7" fillId="0" borderId="19" xfId="0" applyFont="1" applyBorder="1" applyAlignment="1" applyProtection="1">
      <alignment vertical="center"/>
      <protection locked="0"/>
    </xf>
    <xf numFmtId="0" fontId="7" fillId="0" borderId="20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horizontal="left" vertical="center" indent="1"/>
      <protection hidden="1"/>
    </xf>
    <xf numFmtId="0" fontId="1" fillId="0" borderId="21" xfId="0" applyFont="1" applyBorder="1" applyAlignment="1" applyProtection="1">
      <alignment vertical="center"/>
      <protection hidden="1"/>
    </xf>
    <xf numFmtId="0" fontId="4" fillId="0" borderId="21" xfId="0" applyFont="1" applyFill="1" applyBorder="1" applyAlignment="1" applyProtection="1">
      <alignment vertical="center"/>
      <protection hidden="1"/>
    </xf>
    <xf numFmtId="0" fontId="1" fillId="0" borderId="21" xfId="0" applyFont="1" applyFill="1" applyBorder="1" applyAlignment="1" applyProtection="1">
      <alignment vertical="center"/>
      <protection hidden="1"/>
    </xf>
    <xf numFmtId="0" fontId="1" fillId="0" borderId="21" xfId="0" applyFont="1" applyBorder="1" applyProtection="1">
      <protection hidden="1"/>
    </xf>
    <xf numFmtId="0" fontId="1" fillId="0" borderId="22" xfId="0" applyFont="1" applyBorder="1" applyProtection="1"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Border="1"/>
    <xf numFmtId="0" fontId="1" fillId="0" borderId="0" xfId="0" applyFont="1" applyBorder="1" applyAlignment="1">
      <alignment horizontal="left" vertical="center" indent="1"/>
    </xf>
    <xf numFmtId="0" fontId="1" fillId="0" borderId="0" xfId="0" applyFont="1" applyBorder="1" applyAlignment="1" applyProtection="1">
      <alignment horizontal="left" vertical="center" indent="1"/>
      <protection hidden="1"/>
    </xf>
    <xf numFmtId="0" fontId="4" fillId="2" borderId="8" xfId="0" applyFont="1" applyFill="1" applyBorder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right" vertical="center"/>
      <protection hidden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0" fontId="5" fillId="0" borderId="12" xfId="0" applyFont="1" applyBorder="1" applyAlignment="1">
      <alignment horizontal="center" vertical="center" textRotation="255"/>
    </xf>
    <xf numFmtId="0" fontId="5" fillId="0" borderId="0" xfId="0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16" fillId="2" borderId="0" xfId="1" applyFont="1" applyFill="1" applyAlignment="1" applyProtection="1">
      <alignment horizontal="center" vertical="center"/>
      <protection hidden="1"/>
    </xf>
    <xf numFmtId="0" fontId="10" fillId="2" borderId="0" xfId="1" applyFont="1" applyFill="1" applyAlignment="1" applyProtection="1">
      <alignment vertical="center"/>
      <protection locked="0"/>
    </xf>
    <xf numFmtId="180" fontId="1" fillId="0" borderId="0" xfId="0" applyNumberFormat="1" applyFont="1" applyBorder="1" applyAlignment="1" applyProtection="1">
      <alignment horizontal="right" vertical="center" indent="1"/>
      <protection locked="0"/>
    </xf>
    <xf numFmtId="0" fontId="17" fillId="0" borderId="0" xfId="0" applyFont="1" applyProtection="1">
      <protection hidden="1"/>
    </xf>
    <xf numFmtId="0" fontId="18" fillId="0" borderId="0" xfId="0" applyFont="1" applyProtection="1">
      <protection hidden="1"/>
    </xf>
  </cellXfs>
  <cellStyles count="2">
    <cellStyle name="Hyperlink" xfId="1" builtinId="8"/>
    <cellStyle name="Normal" xfId="0" builtinId="0"/>
  </cellStyles>
  <dxfs count="20">
    <dxf>
      <font>
        <b val="0"/>
        <i val="0"/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border>
        <left/>
        <right/>
        <top/>
        <bottom/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61"/>
      </font>
    </dxf>
    <dxf>
      <font>
        <b/>
        <i val="0"/>
        <condense val="0"/>
        <extend val="0"/>
        <color indexed="12"/>
      </font>
    </dxf>
    <dxf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2"/>
      </font>
    </dxf>
    <dxf>
      <font>
        <b/>
        <i val="0"/>
        <condense val="0"/>
        <extend val="0"/>
        <color indexed="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2</xdr:row>
      <xdr:rowOff>142875</xdr:rowOff>
    </xdr:from>
    <xdr:to>
      <xdr:col>11</xdr:col>
      <xdr:colOff>342900</xdr:colOff>
      <xdr:row>29</xdr:row>
      <xdr:rowOff>85725</xdr:rowOff>
    </xdr:to>
    <xdr:pic>
      <xdr:nvPicPr>
        <xdr:cNvPr id="3091" name="Picture 1" descr="uef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466725"/>
          <a:ext cx="4429125" cy="431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exceltabelle.com/" TargetMode="External"/><Relationship Id="rId2" Type="http://schemas.openxmlformats.org/officeDocument/2006/relationships/hyperlink" Target="http://www.exceltemplate.net/" TargetMode="External"/><Relationship Id="rId1" Type="http://schemas.openxmlformats.org/officeDocument/2006/relationships/hyperlink" Target="http://www.exceltemplate.net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exceltabelle.com/" TargetMode="External"/><Relationship Id="rId2" Type="http://schemas.openxmlformats.org/officeDocument/2006/relationships/hyperlink" Target="http://www.exceltemplate.net/" TargetMode="External"/><Relationship Id="rId1" Type="http://schemas.openxmlformats.org/officeDocument/2006/relationships/hyperlink" Target="http://www.exceltemplate.net/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2"/>
  <sheetViews>
    <sheetView showGridLines="0" workbookViewId="0">
      <selection activeCell="B4" sqref="B4"/>
    </sheetView>
  </sheetViews>
  <sheetFormatPr defaultRowHeight="12.75" x14ac:dyDescent="0.2"/>
  <cols>
    <col min="1" max="1" width="9.140625" style="61"/>
    <col min="2" max="2" width="23" style="61" customWidth="1"/>
    <col min="3" max="3" width="42.28515625" style="61" customWidth="1"/>
    <col min="4" max="4" width="25.140625" style="61" customWidth="1"/>
    <col min="5" max="16384" width="9.140625" style="61"/>
  </cols>
  <sheetData>
    <row r="2" spans="1:4" s="68" customFormat="1" x14ac:dyDescent="0.2">
      <c r="A2" s="67" t="s">
        <v>158</v>
      </c>
      <c r="B2" s="67" t="s">
        <v>151</v>
      </c>
      <c r="C2" s="67" t="s">
        <v>152</v>
      </c>
      <c r="D2" s="67" t="s">
        <v>5</v>
      </c>
    </row>
    <row r="3" spans="1:4" x14ac:dyDescent="0.2">
      <c r="A3" s="170" t="s">
        <v>4</v>
      </c>
      <c r="B3" s="66" t="s">
        <v>310</v>
      </c>
      <c r="C3" s="149" t="s">
        <v>169</v>
      </c>
      <c r="D3" s="66" t="s">
        <v>273</v>
      </c>
    </row>
    <row r="4" spans="1:4" x14ac:dyDescent="0.2">
      <c r="A4" s="170"/>
      <c r="B4" s="66" t="s">
        <v>202</v>
      </c>
      <c r="C4" s="149" t="s">
        <v>204</v>
      </c>
      <c r="D4" s="66" t="s">
        <v>274</v>
      </c>
    </row>
    <row r="5" spans="1:4" x14ac:dyDescent="0.2">
      <c r="A5" s="170"/>
      <c r="B5" s="66" t="s">
        <v>187</v>
      </c>
      <c r="C5" s="149" t="s">
        <v>205</v>
      </c>
      <c r="D5" s="66" t="s">
        <v>161</v>
      </c>
    </row>
    <row r="6" spans="1:4" x14ac:dyDescent="0.2">
      <c r="A6" s="170"/>
      <c r="B6" s="66" t="s">
        <v>188</v>
      </c>
      <c r="C6" s="66" t="s">
        <v>206</v>
      </c>
      <c r="D6" s="66" t="s">
        <v>275</v>
      </c>
    </row>
    <row r="7" spans="1:4" x14ac:dyDescent="0.2">
      <c r="A7" s="170" t="s">
        <v>153</v>
      </c>
      <c r="B7" s="66" t="s">
        <v>173</v>
      </c>
      <c r="C7" s="149" t="s">
        <v>166</v>
      </c>
      <c r="D7" s="66" t="s">
        <v>275</v>
      </c>
    </row>
    <row r="8" spans="1:4" x14ac:dyDescent="0.2">
      <c r="A8" s="170"/>
      <c r="B8" s="66" t="s">
        <v>189</v>
      </c>
      <c r="C8" s="66" t="s">
        <v>183</v>
      </c>
      <c r="D8" s="66" t="s">
        <v>276</v>
      </c>
    </row>
    <row r="9" spans="1:4" x14ac:dyDescent="0.2">
      <c r="A9" s="170"/>
      <c r="B9" s="66" t="s">
        <v>190</v>
      </c>
      <c r="C9" s="66" t="s">
        <v>207</v>
      </c>
      <c r="D9" s="66" t="s">
        <v>277</v>
      </c>
    </row>
    <row r="10" spans="1:4" x14ac:dyDescent="0.2">
      <c r="A10" s="170"/>
      <c r="B10" s="66" t="s">
        <v>191</v>
      </c>
      <c r="C10" s="149" t="s">
        <v>208</v>
      </c>
      <c r="D10" s="66" t="s">
        <v>278</v>
      </c>
    </row>
    <row r="11" spans="1:4" x14ac:dyDescent="0.2">
      <c r="A11" s="170" t="s">
        <v>154</v>
      </c>
      <c r="B11" s="66" t="s">
        <v>160</v>
      </c>
      <c r="C11" s="66" t="s">
        <v>172</v>
      </c>
      <c r="D11" s="66" t="s">
        <v>161</v>
      </c>
    </row>
    <row r="12" spans="1:4" x14ac:dyDescent="0.2">
      <c r="A12" s="170"/>
      <c r="B12" s="66" t="s">
        <v>176</v>
      </c>
      <c r="C12" s="66" t="s">
        <v>186</v>
      </c>
      <c r="D12" s="66" t="s">
        <v>163</v>
      </c>
    </row>
    <row r="13" spans="1:4" x14ac:dyDescent="0.2">
      <c r="A13" s="170"/>
      <c r="B13" s="66" t="s">
        <v>178</v>
      </c>
      <c r="C13" s="149" t="s">
        <v>185</v>
      </c>
      <c r="D13" s="66" t="s">
        <v>279</v>
      </c>
    </row>
    <row r="14" spans="1:4" x14ac:dyDescent="0.2">
      <c r="A14" s="170"/>
      <c r="B14" s="66" t="s">
        <v>192</v>
      </c>
      <c r="C14" s="66" t="s">
        <v>209</v>
      </c>
      <c r="D14" s="66" t="s">
        <v>280</v>
      </c>
    </row>
    <row r="15" spans="1:4" x14ac:dyDescent="0.2">
      <c r="A15" s="170" t="s">
        <v>2</v>
      </c>
      <c r="B15" s="66" t="s">
        <v>150</v>
      </c>
      <c r="C15" s="149" t="s">
        <v>168</v>
      </c>
      <c r="D15" s="66" t="s">
        <v>274</v>
      </c>
    </row>
    <row r="16" spans="1:4" x14ac:dyDescent="0.2">
      <c r="A16" s="170"/>
      <c r="B16" s="66" t="s">
        <v>148</v>
      </c>
      <c r="C16" s="66" t="s">
        <v>170</v>
      </c>
      <c r="D16" s="66" t="s">
        <v>277</v>
      </c>
    </row>
    <row r="17" spans="1:4" x14ac:dyDescent="0.2">
      <c r="A17" s="170"/>
      <c r="B17" s="66" t="s">
        <v>179</v>
      </c>
      <c r="C17" s="149" t="s">
        <v>181</v>
      </c>
      <c r="D17" s="66" t="s">
        <v>165</v>
      </c>
    </row>
    <row r="18" spans="1:4" x14ac:dyDescent="0.2">
      <c r="A18" s="170"/>
      <c r="B18" s="66" t="s">
        <v>203</v>
      </c>
      <c r="C18" s="66" t="s">
        <v>210</v>
      </c>
      <c r="D18" s="66" t="s">
        <v>281</v>
      </c>
    </row>
    <row r="19" spans="1:4" x14ac:dyDescent="0.2">
      <c r="A19" s="170" t="s">
        <v>155</v>
      </c>
      <c r="B19" s="66" t="s">
        <v>145</v>
      </c>
      <c r="C19" s="66" t="s">
        <v>174</v>
      </c>
      <c r="D19" s="66" t="s">
        <v>161</v>
      </c>
    </row>
    <row r="20" spans="1:4" x14ac:dyDescent="0.2">
      <c r="A20" s="170"/>
      <c r="B20" s="66" t="s">
        <v>177</v>
      </c>
      <c r="C20" s="149" t="s">
        <v>184</v>
      </c>
      <c r="D20" s="66" t="s">
        <v>274</v>
      </c>
    </row>
    <row r="21" spans="1:4" x14ac:dyDescent="0.2">
      <c r="A21" s="170"/>
      <c r="B21" s="66" t="s">
        <v>193</v>
      </c>
      <c r="C21" s="149" t="s">
        <v>211</v>
      </c>
      <c r="D21" s="66" t="s">
        <v>273</v>
      </c>
    </row>
    <row r="22" spans="1:4" x14ac:dyDescent="0.2">
      <c r="A22" s="170"/>
      <c r="B22" s="66" t="s">
        <v>194</v>
      </c>
      <c r="C22" s="66" t="s">
        <v>212</v>
      </c>
      <c r="D22" s="66" t="s">
        <v>282</v>
      </c>
    </row>
    <row r="23" spans="1:4" x14ac:dyDescent="0.2">
      <c r="A23" s="170" t="s">
        <v>3</v>
      </c>
      <c r="B23" s="66" t="s">
        <v>149</v>
      </c>
      <c r="C23" s="66" t="s">
        <v>175</v>
      </c>
      <c r="D23" s="66" t="s">
        <v>161</v>
      </c>
    </row>
    <row r="24" spans="1:4" x14ac:dyDescent="0.2">
      <c r="A24" s="170"/>
      <c r="B24" s="66" t="s">
        <v>147</v>
      </c>
      <c r="C24" s="149" t="s">
        <v>171</v>
      </c>
      <c r="D24" s="66" t="s">
        <v>277</v>
      </c>
    </row>
    <row r="25" spans="1:4" x14ac:dyDescent="0.2">
      <c r="A25" s="170"/>
      <c r="B25" s="66" t="s">
        <v>195</v>
      </c>
      <c r="C25" s="66" t="s">
        <v>213</v>
      </c>
      <c r="D25" s="66" t="s">
        <v>283</v>
      </c>
    </row>
    <row r="26" spans="1:4" x14ac:dyDescent="0.2">
      <c r="A26" s="170"/>
      <c r="B26" s="66" t="s">
        <v>196</v>
      </c>
      <c r="C26" s="66" t="s">
        <v>214</v>
      </c>
      <c r="D26" s="66" t="s">
        <v>273</v>
      </c>
    </row>
    <row r="27" spans="1:4" x14ac:dyDescent="0.2">
      <c r="A27" s="170" t="s">
        <v>156</v>
      </c>
      <c r="B27" s="66" t="s">
        <v>197</v>
      </c>
      <c r="C27" s="149" t="s">
        <v>215</v>
      </c>
      <c r="D27" s="66" t="s">
        <v>163</v>
      </c>
    </row>
    <row r="28" spans="1:4" x14ac:dyDescent="0.2">
      <c r="A28" s="170"/>
      <c r="B28" s="66" t="s">
        <v>180</v>
      </c>
      <c r="C28" s="149" t="s">
        <v>182</v>
      </c>
      <c r="D28" s="66" t="s">
        <v>164</v>
      </c>
    </row>
    <row r="29" spans="1:4" x14ac:dyDescent="0.2">
      <c r="A29" s="170"/>
      <c r="B29" s="66" t="s">
        <v>198</v>
      </c>
      <c r="C29" s="149" t="s">
        <v>216</v>
      </c>
      <c r="D29" s="66" t="s">
        <v>276</v>
      </c>
    </row>
    <row r="30" spans="1:4" x14ac:dyDescent="0.2">
      <c r="A30" s="170"/>
      <c r="B30" s="66" t="s">
        <v>199</v>
      </c>
      <c r="C30" s="66" t="s">
        <v>217</v>
      </c>
      <c r="D30" s="66" t="s">
        <v>284</v>
      </c>
    </row>
    <row r="31" spans="1:4" x14ac:dyDescent="0.2">
      <c r="A31" s="170" t="s">
        <v>157</v>
      </c>
      <c r="B31" s="66" t="s">
        <v>146</v>
      </c>
      <c r="C31" s="149" t="s">
        <v>167</v>
      </c>
      <c r="D31" s="66" t="s">
        <v>274</v>
      </c>
    </row>
    <row r="32" spans="1:4" x14ac:dyDescent="0.2">
      <c r="A32" s="170"/>
      <c r="B32" s="66" t="s">
        <v>162</v>
      </c>
      <c r="C32" s="149" t="s">
        <v>166</v>
      </c>
      <c r="D32" s="66" t="s">
        <v>275</v>
      </c>
    </row>
    <row r="33" spans="1:4" x14ac:dyDescent="0.2">
      <c r="A33" s="170"/>
      <c r="B33" s="66" t="s">
        <v>200</v>
      </c>
      <c r="C33" s="66" t="s">
        <v>218</v>
      </c>
      <c r="D33" s="66" t="s">
        <v>285</v>
      </c>
    </row>
    <row r="34" spans="1:4" x14ac:dyDescent="0.2">
      <c r="A34" s="170"/>
      <c r="B34" s="66" t="s">
        <v>201</v>
      </c>
      <c r="C34" s="66" t="s">
        <v>219</v>
      </c>
      <c r="D34" s="66" t="s">
        <v>286</v>
      </c>
    </row>
    <row r="36" spans="1:4" x14ac:dyDescent="0.2">
      <c r="B36" s="158"/>
      <c r="C36" s="159"/>
      <c r="D36" s="158"/>
    </row>
    <row r="37" spans="1:4" x14ac:dyDescent="0.2">
      <c r="B37" s="158"/>
      <c r="C37" s="159"/>
      <c r="D37" s="158"/>
    </row>
    <row r="38" spans="1:4" x14ac:dyDescent="0.2">
      <c r="B38" s="158"/>
      <c r="C38" s="159"/>
      <c r="D38" s="158"/>
    </row>
    <row r="39" spans="1:4" x14ac:dyDescent="0.2">
      <c r="B39" s="158"/>
      <c r="C39" s="158"/>
      <c r="D39" s="158"/>
    </row>
    <row r="40" spans="1:4" x14ac:dyDescent="0.2">
      <c r="B40" s="158"/>
      <c r="C40" s="159"/>
      <c r="D40" s="158"/>
    </row>
    <row r="41" spans="1:4" x14ac:dyDescent="0.2">
      <c r="B41" s="158"/>
      <c r="C41" s="158"/>
      <c r="D41" s="158"/>
    </row>
    <row r="42" spans="1:4" x14ac:dyDescent="0.2">
      <c r="B42" s="158"/>
      <c r="C42" s="158"/>
      <c r="D42" s="158"/>
    </row>
    <row r="43" spans="1:4" x14ac:dyDescent="0.2">
      <c r="B43" s="158"/>
      <c r="C43" s="159"/>
      <c r="D43" s="158"/>
    </row>
    <row r="44" spans="1:4" x14ac:dyDescent="0.2">
      <c r="B44" s="158"/>
      <c r="C44" s="158"/>
      <c r="D44" s="158"/>
    </row>
    <row r="45" spans="1:4" x14ac:dyDescent="0.2">
      <c r="B45" s="158"/>
      <c r="C45" s="159"/>
      <c r="D45" s="158"/>
    </row>
    <row r="46" spans="1:4" x14ac:dyDescent="0.2">
      <c r="B46" s="158"/>
      <c r="C46" s="158"/>
      <c r="D46" s="158"/>
    </row>
    <row r="47" spans="1:4" x14ac:dyDescent="0.2">
      <c r="B47" s="158"/>
      <c r="C47" s="158"/>
      <c r="D47" s="158"/>
    </row>
    <row r="48" spans="1:4" x14ac:dyDescent="0.2">
      <c r="B48" s="158"/>
      <c r="C48" s="159"/>
      <c r="D48" s="158"/>
    </row>
    <row r="49" spans="2:4" x14ac:dyDescent="0.2">
      <c r="B49" s="158"/>
      <c r="C49" s="158"/>
      <c r="D49" s="158"/>
    </row>
    <row r="50" spans="2:4" x14ac:dyDescent="0.2">
      <c r="B50" s="158"/>
      <c r="C50" s="159"/>
      <c r="D50" s="158"/>
    </row>
    <row r="51" spans="2:4" x14ac:dyDescent="0.2">
      <c r="B51" s="158"/>
      <c r="C51" s="158"/>
      <c r="D51" s="158"/>
    </row>
    <row r="52" spans="2:4" x14ac:dyDescent="0.2">
      <c r="B52" s="158"/>
      <c r="C52" s="159"/>
      <c r="D52" s="158"/>
    </row>
    <row r="53" spans="2:4" x14ac:dyDescent="0.2">
      <c r="B53" s="158"/>
      <c r="C53" s="159"/>
      <c r="D53" s="158"/>
    </row>
    <row r="54" spans="2:4" x14ac:dyDescent="0.2">
      <c r="B54" s="158"/>
      <c r="C54" s="159"/>
      <c r="D54" s="158"/>
    </row>
    <row r="55" spans="2:4" x14ac:dyDescent="0.2">
      <c r="B55" s="158"/>
      <c r="C55" s="158"/>
      <c r="D55" s="158"/>
    </row>
    <row r="56" spans="2:4" x14ac:dyDescent="0.2">
      <c r="B56" s="158"/>
      <c r="C56" s="158"/>
      <c r="D56" s="158"/>
    </row>
    <row r="57" spans="2:4" x14ac:dyDescent="0.2">
      <c r="B57" s="158"/>
      <c r="C57" s="159"/>
      <c r="D57" s="158"/>
    </row>
    <row r="58" spans="2:4" x14ac:dyDescent="0.2">
      <c r="B58" s="158"/>
      <c r="C58" s="158"/>
      <c r="D58" s="158"/>
    </row>
    <row r="59" spans="2:4" x14ac:dyDescent="0.2">
      <c r="B59" s="158"/>
      <c r="C59" s="158"/>
      <c r="D59" s="158"/>
    </row>
    <row r="60" spans="2:4" x14ac:dyDescent="0.2">
      <c r="B60" s="158"/>
      <c r="C60" s="159"/>
      <c r="D60" s="158"/>
    </row>
    <row r="61" spans="2:4" x14ac:dyDescent="0.2">
      <c r="B61" s="158"/>
      <c r="C61" s="159"/>
      <c r="D61" s="158"/>
    </row>
    <row r="62" spans="2:4" x14ac:dyDescent="0.2">
      <c r="B62" s="158"/>
      <c r="C62" s="159"/>
      <c r="D62" s="158"/>
    </row>
    <row r="63" spans="2:4" x14ac:dyDescent="0.2">
      <c r="B63" s="158"/>
      <c r="C63" s="158"/>
      <c r="D63" s="158"/>
    </row>
    <row r="64" spans="2:4" x14ac:dyDescent="0.2">
      <c r="B64" s="158"/>
      <c r="C64" s="158"/>
      <c r="D64" s="158"/>
    </row>
    <row r="65" spans="2:4" x14ac:dyDescent="0.2">
      <c r="B65" s="158"/>
      <c r="C65" s="159"/>
      <c r="D65" s="158"/>
    </row>
    <row r="66" spans="2:4" x14ac:dyDescent="0.2">
      <c r="B66" s="158"/>
      <c r="C66" s="158"/>
      <c r="D66" s="158"/>
    </row>
    <row r="67" spans="2:4" x14ac:dyDescent="0.2">
      <c r="B67" s="158"/>
      <c r="C67" s="158"/>
      <c r="D67" s="158"/>
    </row>
    <row r="68" spans="2:4" x14ac:dyDescent="0.2">
      <c r="B68" s="157"/>
      <c r="C68" s="157"/>
      <c r="D68" s="157"/>
    </row>
    <row r="69" spans="2:4" x14ac:dyDescent="0.2">
      <c r="B69" s="157"/>
      <c r="C69" s="157"/>
      <c r="D69" s="157"/>
    </row>
    <row r="70" spans="2:4" x14ac:dyDescent="0.2">
      <c r="B70" s="157"/>
      <c r="C70" s="157"/>
      <c r="D70" s="157"/>
    </row>
    <row r="71" spans="2:4" x14ac:dyDescent="0.2">
      <c r="B71" s="157"/>
      <c r="C71" s="157"/>
      <c r="D71" s="157"/>
    </row>
    <row r="72" spans="2:4" x14ac:dyDescent="0.2">
      <c r="B72" s="157"/>
      <c r="C72" s="157"/>
      <c r="D72" s="157"/>
    </row>
  </sheetData>
  <mergeCells count="8">
    <mergeCell ref="A27:A30"/>
    <mergeCell ref="A31:A34"/>
    <mergeCell ref="A3:A6"/>
    <mergeCell ref="A7:A10"/>
    <mergeCell ref="A11:A14"/>
    <mergeCell ref="A15:A18"/>
    <mergeCell ref="A19:A22"/>
    <mergeCell ref="A23:A26"/>
  </mergeCells>
  <phoneticPr fontId="2" type="noConversion"/>
  <pageMargins left="0.75" right="0.75" top="1" bottom="1" header="0.5" footer="0.5"/>
  <pageSetup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DC110"/>
  <sheetViews>
    <sheetView showGridLines="0" tabSelected="1" zoomScale="80" workbookViewId="0">
      <selection activeCell="E11" sqref="E11"/>
    </sheetView>
  </sheetViews>
  <sheetFormatPr defaultRowHeight="12.75" x14ac:dyDescent="0.2"/>
  <cols>
    <col min="1" max="3" width="2.42578125" style="2" customWidth="1"/>
    <col min="4" max="4" width="7.42578125" style="2" customWidth="1"/>
    <col min="5" max="5" width="8.5703125" style="2" customWidth="1"/>
    <col min="6" max="6" width="15" style="2" bestFit="1" customWidth="1"/>
    <col min="7" max="7" width="23.7109375" style="2" customWidth="1"/>
    <col min="8" max="8" width="1.7109375" style="2" customWidth="1"/>
    <col min="9" max="9" width="4.7109375" style="2" customWidth="1"/>
    <col min="10" max="10" width="2.7109375" style="3" customWidth="1"/>
    <col min="11" max="11" width="4.7109375" style="2" customWidth="1"/>
    <col min="12" max="12" width="1.7109375" style="2" customWidth="1"/>
    <col min="13" max="13" width="23.7109375" style="2" customWidth="1"/>
    <col min="14" max="14" width="32.7109375" style="2" bestFit="1" customWidth="1"/>
    <col min="15" max="17" width="2.42578125" style="2" customWidth="1"/>
    <col min="18" max="18" width="3.7109375" style="49" customWidth="1"/>
    <col min="19" max="19" width="23.85546875" style="2" customWidth="1"/>
    <col min="20" max="23" width="7.7109375" style="2" customWidth="1"/>
    <col min="24" max="24" width="9.140625" style="2"/>
    <col min="25" max="25" width="7.7109375" style="2" customWidth="1"/>
    <col min="26" max="27" width="2.42578125" style="2" customWidth="1"/>
    <col min="28" max="28" width="9.140625" style="2"/>
    <col min="29" max="29" width="9.140625" style="4"/>
    <col min="30" max="30" width="11.85546875" style="4" bestFit="1" customWidth="1"/>
    <col min="31" max="31" width="14.7109375" style="2" bestFit="1" customWidth="1"/>
    <col min="32" max="16384" width="9.140625" style="2"/>
  </cols>
  <sheetData>
    <row r="1" spans="2:107" x14ac:dyDescent="0.2">
      <c r="AD1" s="5"/>
      <c r="AE1" s="5"/>
    </row>
    <row r="2" spans="2:107" ht="15" customHeight="1" x14ac:dyDescent="0.2">
      <c r="B2" s="187" t="s">
        <v>223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C2" s="2"/>
      <c r="AD2" s="2"/>
    </row>
    <row r="3" spans="2:107" ht="8.25" customHeight="1" x14ac:dyDescent="0.2"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C3" s="2"/>
      <c r="AD3" s="2"/>
      <c r="CQ3" s="5" t="s">
        <v>144</v>
      </c>
    </row>
    <row r="4" spans="2:107" ht="15" customHeight="1" x14ac:dyDescent="0.2"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C4" s="2"/>
      <c r="AD4" s="2"/>
      <c r="CQ4" s="5"/>
      <c r="CR4" s="5"/>
    </row>
    <row r="5" spans="2:107" x14ac:dyDescent="0.2">
      <c r="DB5" s="5"/>
      <c r="DC5" s="5"/>
    </row>
    <row r="6" spans="2:107" x14ac:dyDescent="0.2">
      <c r="DB6" s="5"/>
      <c r="DC6" s="5"/>
    </row>
    <row r="7" spans="2:107" s="6" customFormat="1" ht="22.5" customHeight="1" x14ac:dyDescent="0.2">
      <c r="B7" s="172" t="s">
        <v>220</v>
      </c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4"/>
      <c r="AC7" s="7"/>
      <c r="DB7" s="8"/>
      <c r="DC7" s="8"/>
    </row>
    <row r="8" spans="2:107" s="6" customFormat="1" ht="15" customHeight="1" x14ac:dyDescent="0.2">
      <c r="B8" s="9"/>
      <c r="C8" s="10"/>
      <c r="D8" s="10"/>
      <c r="E8" s="10"/>
      <c r="F8" s="10"/>
      <c r="G8" s="10"/>
      <c r="H8" s="10"/>
      <c r="I8" s="10"/>
      <c r="J8" s="11"/>
      <c r="K8" s="10"/>
      <c r="L8" s="10"/>
      <c r="M8" s="10"/>
      <c r="N8" s="10"/>
      <c r="O8" s="10"/>
      <c r="P8" s="10"/>
      <c r="Q8" s="150"/>
      <c r="R8" s="34"/>
      <c r="S8" s="10"/>
      <c r="T8" s="10"/>
      <c r="U8" s="10"/>
      <c r="V8" s="10"/>
      <c r="W8" s="10"/>
      <c r="X8" s="10"/>
      <c r="Y8" s="10"/>
      <c r="Z8" s="10"/>
      <c r="AA8" s="12"/>
      <c r="AC8" s="7"/>
      <c r="DB8" s="8"/>
      <c r="DC8" s="8"/>
    </row>
    <row r="9" spans="2:107" s="6" customFormat="1" ht="15" customHeight="1" x14ac:dyDescent="0.2">
      <c r="B9" s="9"/>
      <c r="C9" s="178" t="s">
        <v>221</v>
      </c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80"/>
      <c r="P9" s="155"/>
      <c r="Q9" s="150"/>
      <c r="R9" s="175" t="s">
        <v>222</v>
      </c>
      <c r="S9" s="176"/>
      <c r="T9" s="176"/>
      <c r="U9" s="176"/>
      <c r="V9" s="176"/>
      <c r="W9" s="176"/>
      <c r="X9" s="176"/>
      <c r="Y9" s="176"/>
      <c r="Z9" s="177"/>
      <c r="AA9" s="12"/>
      <c r="AC9" s="7"/>
      <c r="DB9" s="8" t="s">
        <v>6</v>
      </c>
      <c r="DC9" s="8" t="s">
        <v>143</v>
      </c>
    </row>
    <row r="10" spans="2:107" s="6" customFormat="1" ht="15" customHeight="1" x14ac:dyDescent="0.2">
      <c r="B10" s="9"/>
      <c r="C10" s="76"/>
      <c r="D10" s="77"/>
      <c r="E10" s="77"/>
      <c r="F10" s="77"/>
      <c r="G10" s="77"/>
      <c r="H10" s="77"/>
      <c r="I10" s="77"/>
      <c r="J10" s="78"/>
      <c r="K10" s="77"/>
      <c r="L10" s="77"/>
      <c r="M10" s="77"/>
      <c r="N10" s="77"/>
      <c r="O10" s="79"/>
      <c r="P10" s="10"/>
      <c r="Q10" s="150"/>
      <c r="R10" s="50"/>
      <c r="S10" s="13"/>
      <c r="T10" s="13"/>
      <c r="U10" s="13"/>
      <c r="V10" s="13"/>
      <c r="W10" s="13"/>
      <c r="X10" s="13"/>
      <c r="Y10" s="13"/>
      <c r="Z10" s="14"/>
      <c r="AA10" s="12"/>
      <c r="AC10" s="7"/>
      <c r="DB10" s="8"/>
      <c r="DC10" s="8"/>
    </row>
    <row r="11" spans="2:107" s="6" customFormat="1" ht="15" customHeight="1" x14ac:dyDescent="0.2">
      <c r="B11" s="9"/>
      <c r="C11" s="76"/>
      <c r="D11" s="80" t="s">
        <v>224</v>
      </c>
      <c r="E11" s="80" t="s">
        <v>226</v>
      </c>
      <c r="F11" s="80" t="s">
        <v>227</v>
      </c>
      <c r="G11" s="81" t="s">
        <v>241</v>
      </c>
      <c r="H11" s="80"/>
      <c r="I11" s="171" t="s">
        <v>228</v>
      </c>
      <c r="J11" s="171"/>
      <c r="K11" s="171"/>
      <c r="L11" s="80"/>
      <c r="M11" s="82" t="s">
        <v>242</v>
      </c>
      <c r="N11" s="80" t="s">
        <v>243</v>
      </c>
      <c r="O11" s="79"/>
      <c r="P11" s="10"/>
      <c r="Q11" s="150"/>
      <c r="R11" s="51"/>
      <c r="S11" s="15" t="s">
        <v>229</v>
      </c>
      <c r="T11" s="16" t="s">
        <v>230</v>
      </c>
      <c r="U11" s="16" t="s">
        <v>156</v>
      </c>
      <c r="V11" s="16" t="s">
        <v>231</v>
      </c>
      <c r="W11" s="16" t="s">
        <v>232</v>
      </c>
      <c r="X11" s="16" t="s">
        <v>233</v>
      </c>
      <c r="Y11" s="17" t="s">
        <v>34</v>
      </c>
      <c r="Z11" s="12"/>
      <c r="AA11" s="12"/>
      <c r="AC11" s="7"/>
      <c r="DB11" s="18" t="s">
        <v>23</v>
      </c>
      <c r="DC11" s="19" t="s">
        <v>35</v>
      </c>
    </row>
    <row r="12" spans="2:107" s="6" customFormat="1" ht="15" customHeight="1" x14ac:dyDescent="0.2">
      <c r="B12" s="9"/>
      <c r="C12" s="76"/>
      <c r="D12" s="80" t="s">
        <v>225</v>
      </c>
      <c r="E12" s="80"/>
      <c r="F12" s="77"/>
      <c r="G12" s="77"/>
      <c r="H12" s="77"/>
      <c r="I12" s="77"/>
      <c r="J12" s="77"/>
      <c r="K12" s="77"/>
      <c r="L12" s="77"/>
      <c r="M12" s="77"/>
      <c r="N12" s="77"/>
      <c r="O12" s="79"/>
      <c r="P12" s="10"/>
      <c r="Q12" s="150"/>
      <c r="R12" s="51"/>
      <c r="S12" s="20" t="str">
        <f>VLOOKUP(1,'Dummy Table'!$DD$4:$DE$7,2,FALSE)</f>
        <v>Bayern München</v>
      </c>
      <c r="T12" s="21">
        <f>SUM(U12:W12)</f>
        <v>0</v>
      </c>
      <c r="U12" s="21">
        <f>SUMIF('Dummy Table'!B$4:B$7,Gruppenphase!S12,'Dummy Table'!Q$4:Q$7)</f>
        <v>0</v>
      </c>
      <c r="V12" s="21">
        <f>SUMIF('Dummy Table'!B$4:B$7,Gruppenphase!S12,'Dummy Table'!R$4:R$7)</f>
        <v>0</v>
      </c>
      <c r="W12" s="21">
        <f>SUMIF('Dummy Table'!B$4:B$7,Gruppenphase!S12,'Dummy Table'!S$4:S$7)</f>
        <v>0</v>
      </c>
      <c r="X12" s="21" t="str">
        <f>CONCATENATE(SUMIF('Dummy Table'!B$4:B$7,Gruppenphase!S12,'Dummy Table'!T$4:T$7)," - ",SUMIF('Dummy Table'!B$4:B$7,Gruppenphase!S12,'Dummy Table'!U$4:U$7))</f>
        <v>0 - 0</v>
      </c>
      <c r="Y12" s="22">
        <f>U12*3+V12*1</f>
        <v>0</v>
      </c>
      <c r="Z12" s="12"/>
      <c r="AA12" s="12"/>
      <c r="AC12" s="7"/>
      <c r="DB12" s="18" t="s">
        <v>32</v>
      </c>
      <c r="DC12" s="19" t="s">
        <v>36</v>
      </c>
    </row>
    <row r="13" spans="2:107" s="6" customFormat="1" ht="15" customHeight="1" x14ac:dyDescent="0.2">
      <c r="B13" s="9"/>
      <c r="C13" s="76"/>
      <c r="D13" s="78">
        <v>1</v>
      </c>
      <c r="E13" s="78" t="s">
        <v>155</v>
      </c>
      <c r="F13" s="189">
        <v>40800</v>
      </c>
      <c r="G13" s="83" t="s">
        <v>194</v>
      </c>
      <c r="H13" s="77"/>
      <c r="I13" s="84"/>
      <c r="J13" s="84" t="s">
        <v>0</v>
      </c>
      <c r="K13" s="84"/>
      <c r="L13" s="77"/>
      <c r="M13" s="85" t="s">
        <v>177</v>
      </c>
      <c r="N13" s="85" t="str">
        <f>VLOOKUP(G13,'Club Namen'!$B$3:$C$34,2,FALSE)</f>
        <v>Cristal Arena</v>
      </c>
      <c r="O13" s="79"/>
      <c r="P13" s="10"/>
      <c r="Q13" s="150"/>
      <c r="R13" s="51"/>
      <c r="S13" s="24" t="str">
        <f>VLOOKUP(2,'Dummy Table'!$DD$4:$DE$7,2,FALSE)</f>
        <v>Villarreal</v>
      </c>
      <c r="T13" s="11">
        <f>SUM(U13:W13)</f>
        <v>0</v>
      </c>
      <c r="U13" s="11">
        <f>SUMIF('Dummy Table'!B$4:B$7,Gruppenphase!S13,'Dummy Table'!Q$4:Q$7)</f>
        <v>0</v>
      </c>
      <c r="V13" s="11">
        <f>SUMIF('Dummy Table'!B$4:B$7,Gruppenphase!S13,'Dummy Table'!R$4:R$7)</f>
        <v>0</v>
      </c>
      <c r="W13" s="11">
        <f>SUMIF('Dummy Table'!B$4:B$7,Gruppenphase!S13,'Dummy Table'!S$4:S$7)</f>
        <v>0</v>
      </c>
      <c r="X13" s="11" t="str">
        <f>CONCATENATE(SUMIF('Dummy Table'!B$4:B$7,Gruppenphase!S13,'Dummy Table'!T$4:T$7)," - ",SUMIF('Dummy Table'!B$4:B$7,Gruppenphase!S13,'Dummy Table'!U$4:U$7))</f>
        <v>0 - 0</v>
      </c>
      <c r="Y13" s="25">
        <f>U13*3+V13*1</f>
        <v>0</v>
      </c>
      <c r="Z13" s="12"/>
      <c r="AA13" s="12"/>
      <c r="AC13" s="7"/>
      <c r="AF13" s="1"/>
      <c r="DB13" s="18" t="s">
        <v>30</v>
      </c>
      <c r="DC13" s="19" t="s">
        <v>37</v>
      </c>
    </row>
    <row r="14" spans="2:107" s="6" customFormat="1" ht="15" customHeight="1" x14ac:dyDescent="0.2">
      <c r="B14" s="9"/>
      <c r="C14" s="76"/>
      <c r="D14" s="78">
        <v>1</v>
      </c>
      <c r="E14" s="78" t="s">
        <v>155</v>
      </c>
      <c r="F14" s="189">
        <v>40800</v>
      </c>
      <c r="G14" s="83" t="s">
        <v>145</v>
      </c>
      <c r="H14" s="77"/>
      <c r="I14" s="84"/>
      <c r="J14" s="84" t="s">
        <v>0</v>
      </c>
      <c r="K14" s="84"/>
      <c r="L14" s="77"/>
      <c r="M14" s="85" t="s">
        <v>193</v>
      </c>
      <c r="N14" s="85" t="str">
        <f>VLOOKUP(G14,'Club Namen'!$B$3:$C$34,2,FALSE)</f>
        <v>Stamford Bridge</v>
      </c>
      <c r="O14" s="79"/>
      <c r="P14" s="10"/>
      <c r="Q14" s="150"/>
      <c r="R14" s="51"/>
      <c r="S14" s="24" t="str">
        <f>VLOOKUP(3,'Dummy Table'!$DD$4:$DE$7,2,FALSE)</f>
        <v>Manchester City</v>
      </c>
      <c r="T14" s="11">
        <f>SUM(U14:W14)</f>
        <v>0</v>
      </c>
      <c r="U14" s="11">
        <f>SUMIF('Dummy Table'!B$4:B$7,Gruppenphase!S14,'Dummy Table'!Q$4:Q$7)</f>
        <v>0</v>
      </c>
      <c r="V14" s="11">
        <f>SUMIF('Dummy Table'!B$4:B$7,Gruppenphase!S14,'Dummy Table'!R$4:R$7)</f>
        <v>0</v>
      </c>
      <c r="W14" s="11">
        <f>SUMIF('Dummy Table'!B$4:B$7,Gruppenphase!S14,'Dummy Table'!S$4:S$7)</f>
        <v>0</v>
      </c>
      <c r="X14" s="11" t="str">
        <f>CONCATENATE(SUMIF('Dummy Table'!B$4:B$7,Gruppenphase!S14,'Dummy Table'!T$4:T$7)," - ",SUMIF('Dummy Table'!B$4:B$7,Gruppenphase!S14,'Dummy Table'!U$4:U$7))</f>
        <v>0 - 0</v>
      </c>
      <c r="Y14" s="25">
        <f>U14*3+V14*1</f>
        <v>0</v>
      </c>
      <c r="Z14" s="12"/>
      <c r="AA14" s="12"/>
      <c r="AC14" s="7"/>
      <c r="AF14" s="1"/>
      <c r="DB14" s="18" t="s">
        <v>24</v>
      </c>
      <c r="DC14" s="19" t="s">
        <v>38</v>
      </c>
    </row>
    <row r="15" spans="2:107" s="6" customFormat="1" ht="15" customHeight="1" x14ac:dyDescent="0.2">
      <c r="B15" s="9"/>
      <c r="C15" s="76"/>
      <c r="D15" s="78">
        <v>1</v>
      </c>
      <c r="E15" s="78" t="s">
        <v>3</v>
      </c>
      <c r="F15" s="189">
        <v>40800</v>
      </c>
      <c r="G15" s="83" t="s">
        <v>195</v>
      </c>
      <c r="H15" s="77"/>
      <c r="I15" s="84"/>
      <c r="J15" s="84" t="s">
        <v>0</v>
      </c>
      <c r="K15" s="84"/>
      <c r="L15" s="77"/>
      <c r="M15" s="85" t="s">
        <v>147</v>
      </c>
      <c r="N15" s="85" t="str">
        <f>VLOOKUP(G15,'Club Namen'!$B$3:$C$34,2,FALSE)</f>
        <v>Karaiskakis</v>
      </c>
      <c r="O15" s="79"/>
      <c r="P15" s="10"/>
      <c r="Q15" s="150"/>
      <c r="R15" s="51"/>
      <c r="S15" s="26" t="str">
        <f>VLOOKUP(4,'Dummy Table'!$DD$4:$DE$7,2,FALSE)</f>
        <v>Napoli</v>
      </c>
      <c r="T15" s="27">
        <f>SUM(U15:W15)</f>
        <v>0</v>
      </c>
      <c r="U15" s="27">
        <f>SUMIF('Dummy Table'!B$4:B$7,Gruppenphase!S15,'Dummy Table'!Q$4:Q$7)</f>
        <v>0</v>
      </c>
      <c r="V15" s="27">
        <f>SUMIF('Dummy Table'!B$4:B$7,Gruppenphase!S15,'Dummy Table'!R$4:R$7)</f>
        <v>0</v>
      </c>
      <c r="W15" s="27">
        <f>SUMIF('Dummy Table'!B$4:B$7,Gruppenphase!S15,'Dummy Table'!S$4:S$7)</f>
        <v>0</v>
      </c>
      <c r="X15" s="27" t="str">
        <f>CONCATENATE(SUMIF('Dummy Table'!B$4:B$7,Gruppenphase!S15,'Dummy Table'!T$4:T$7)," - ",SUMIF('Dummy Table'!B$4:B$7,Gruppenphase!S15,'Dummy Table'!U$4:U$7))</f>
        <v>0 - 0</v>
      </c>
      <c r="Y15" s="28">
        <f>U15*3+V15*1</f>
        <v>0</v>
      </c>
      <c r="Z15" s="12"/>
      <c r="AA15" s="12"/>
      <c r="AC15" s="7"/>
      <c r="AF15" s="1"/>
      <c r="DB15" s="18" t="s">
        <v>33</v>
      </c>
      <c r="DC15" s="19" t="s">
        <v>39</v>
      </c>
    </row>
    <row r="16" spans="2:107" s="6" customFormat="1" ht="15" customHeight="1" x14ac:dyDescent="0.2">
      <c r="B16" s="9"/>
      <c r="C16" s="76"/>
      <c r="D16" s="78">
        <v>1</v>
      </c>
      <c r="E16" s="78" t="s">
        <v>3</v>
      </c>
      <c r="F16" s="189">
        <v>40800</v>
      </c>
      <c r="G16" s="83" t="s">
        <v>196</v>
      </c>
      <c r="H16" s="77"/>
      <c r="I16" s="84"/>
      <c r="J16" s="84" t="s">
        <v>0</v>
      </c>
      <c r="K16" s="84"/>
      <c r="L16" s="77"/>
      <c r="M16" s="85" t="s">
        <v>149</v>
      </c>
      <c r="N16" s="85" t="str">
        <f>VLOOKUP(G16,'Club Namen'!$B$3:$C$34,2,FALSE)</f>
        <v>Signal Iduna Park</v>
      </c>
      <c r="O16" s="79"/>
      <c r="P16" s="10"/>
      <c r="Q16" s="150"/>
      <c r="R16" s="51"/>
      <c r="S16" s="10"/>
      <c r="T16" s="10"/>
      <c r="U16" s="10"/>
      <c r="V16" s="10"/>
      <c r="W16" s="10"/>
      <c r="X16" s="10"/>
      <c r="Y16" s="10"/>
      <c r="Z16" s="12"/>
      <c r="AA16" s="12"/>
      <c r="AC16" s="7"/>
      <c r="AF16" s="1"/>
      <c r="DB16" s="18" t="s">
        <v>28</v>
      </c>
      <c r="DC16" s="19" t="s">
        <v>40</v>
      </c>
    </row>
    <row r="17" spans="2:107" s="6" customFormat="1" ht="15" customHeight="1" x14ac:dyDescent="0.2">
      <c r="B17" s="9"/>
      <c r="C17" s="76"/>
      <c r="D17" s="78">
        <v>1</v>
      </c>
      <c r="E17" s="78" t="s">
        <v>156</v>
      </c>
      <c r="F17" s="189">
        <v>40800</v>
      </c>
      <c r="G17" s="83" t="s">
        <v>197</v>
      </c>
      <c r="H17" s="77"/>
      <c r="I17" s="84"/>
      <c r="J17" s="84" t="s">
        <v>0</v>
      </c>
      <c r="K17" s="84"/>
      <c r="L17" s="77"/>
      <c r="M17" s="85" t="s">
        <v>180</v>
      </c>
      <c r="N17" s="85" t="str">
        <f>VLOOKUP(G17,'Club Namen'!$B$3:$C$34,2,FALSE)</f>
        <v>Estádio do Dragão</v>
      </c>
      <c r="O17" s="79"/>
      <c r="P17" s="10"/>
      <c r="Q17" s="150"/>
      <c r="R17" s="51"/>
      <c r="S17" s="10"/>
      <c r="T17" s="10"/>
      <c r="U17" s="10"/>
      <c r="V17" s="10"/>
      <c r="W17" s="10"/>
      <c r="X17" s="10"/>
      <c r="Y17" s="10"/>
      <c r="Z17" s="12"/>
      <c r="AA17" s="12"/>
      <c r="AC17" s="7"/>
      <c r="AF17" s="1"/>
      <c r="DB17" s="18" t="s">
        <v>18</v>
      </c>
      <c r="DC17" s="19" t="s">
        <v>41</v>
      </c>
    </row>
    <row r="18" spans="2:107" s="6" customFormat="1" ht="15" customHeight="1" x14ac:dyDescent="0.2">
      <c r="B18" s="9"/>
      <c r="C18" s="76"/>
      <c r="D18" s="78">
        <v>1</v>
      </c>
      <c r="E18" s="78" t="s">
        <v>156</v>
      </c>
      <c r="F18" s="189">
        <v>40800</v>
      </c>
      <c r="G18" s="83" t="s">
        <v>199</v>
      </c>
      <c r="H18" s="77"/>
      <c r="I18" s="84"/>
      <c r="J18" s="84" t="s">
        <v>0</v>
      </c>
      <c r="K18" s="84"/>
      <c r="L18" s="77"/>
      <c r="M18" s="85" t="s">
        <v>198</v>
      </c>
      <c r="N18" s="85" t="str">
        <f>VLOOKUP(G18,'Club Namen'!$B$3:$C$34,2,FALSE)</f>
        <v>GSP Stadium</v>
      </c>
      <c r="O18" s="79"/>
      <c r="P18" s="10"/>
      <c r="Q18" s="150"/>
      <c r="R18" s="51"/>
      <c r="S18" s="15" t="s">
        <v>240</v>
      </c>
      <c r="T18" s="16" t="s">
        <v>230</v>
      </c>
      <c r="U18" s="16" t="s">
        <v>156</v>
      </c>
      <c r="V18" s="16" t="s">
        <v>231</v>
      </c>
      <c r="W18" s="16" t="s">
        <v>232</v>
      </c>
      <c r="X18" s="16" t="s">
        <v>233</v>
      </c>
      <c r="Y18" s="17" t="s">
        <v>34</v>
      </c>
      <c r="Z18" s="12"/>
      <c r="AA18" s="12"/>
      <c r="AC18" s="7"/>
      <c r="AF18" s="1"/>
      <c r="DB18" s="18" t="s">
        <v>17</v>
      </c>
      <c r="DC18" s="19" t="s">
        <v>42</v>
      </c>
    </row>
    <row r="19" spans="2:107" s="6" customFormat="1" ht="15" customHeight="1" x14ac:dyDescent="0.2">
      <c r="B19" s="9"/>
      <c r="C19" s="76"/>
      <c r="D19" s="78">
        <v>1</v>
      </c>
      <c r="E19" s="78" t="s">
        <v>157</v>
      </c>
      <c r="F19" s="189">
        <v>40800</v>
      </c>
      <c r="G19" s="83" t="s">
        <v>146</v>
      </c>
      <c r="H19" s="77"/>
      <c r="I19" s="84"/>
      <c r="J19" s="84" t="s">
        <v>0</v>
      </c>
      <c r="K19" s="84"/>
      <c r="L19" s="77"/>
      <c r="M19" s="85" t="s">
        <v>162</v>
      </c>
      <c r="N19" s="85" t="str">
        <f>VLOOKUP(G19,'Club Namen'!$B$3:$C$34,2,FALSE)</f>
        <v>Nou Camp</v>
      </c>
      <c r="O19" s="79"/>
      <c r="P19" s="10"/>
      <c r="Q19" s="150"/>
      <c r="R19" s="51"/>
      <c r="S19" s="20" t="str">
        <f>VLOOKUP(1,'Dummy Table'!$DD$8:$DE$11,2,FALSE)</f>
        <v>Internazionale</v>
      </c>
      <c r="T19" s="21">
        <f>SUM(U19:W19)</f>
        <v>0</v>
      </c>
      <c r="U19" s="21">
        <f>SUMIF('Dummy Table'!B$8:B$11,Gruppenphase!S19,'Dummy Table'!Q$8:Q$11)</f>
        <v>0</v>
      </c>
      <c r="V19" s="21">
        <f>SUMIF('Dummy Table'!B$8:B$11,Gruppenphase!S19,'Dummy Table'!R$8:R$11)</f>
        <v>0</v>
      </c>
      <c r="W19" s="21">
        <f>SUMIF('Dummy Table'!B$8:B$11,Gruppenphase!S19,'Dummy Table'!S$8:S$11)</f>
        <v>0</v>
      </c>
      <c r="X19" s="21" t="str">
        <f>CONCATENATE(SUMIF('Dummy Table'!B$8:B$11,Gruppenphase!S19,'Dummy Table'!T$8:T$11)," - ",SUMIF('Dummy Table'!B$8:B$11,Gruppenphase!S19,'Dummy Table'!U$8:U$11))</f>
        <v>0 - 0</v>
      </c>
      <c r="Y19" s="22">
        <f>U19*3+V19*1</f>
        <v>0</v>
      </c>
      <c r="Z19" s="12"/>
      <c r="AA19" s="12"/>
      <c r="AC19" s="7"/>
      <c r="AF19" s="1"/>
      <c r="DB19" s="29" t="s">
        <v>7</v>
      </c>
      <c r="DC19" s="19" t="s">
        <v>43</v>
      </c>
    </row>
    <row r="20" spans="2:107" s="6" customFormat="1" ht="15" customHeight="1" x14ac:dyDescent="0.2">
      <c r="B20" s="9"/>
      <c r="C20" s="76"/>
      <c r="D20" s="78">
        <v>1</v>
      </c>
      <c r="E20" s="78" t="s">
        <v>157</v>
      </c>
      <c r="F20" s="189">
        <v>40800</v>
      </c>
      <c r="G20" s="83" t="s">
        <v>201</v>
      </c>
      <c r="H20" s="77"/>
      <c r="I20" s="84"/>
      <c r="J20" s="84" t="s">
        <v>0</v>
      </c>
      <c r="K20" s="84"/>
      <c r="L20" s="77"/>
      <c r="M20" s="85" t="s">
        <v>200</v>
      </c>
      <c r="N20" s="85" t="str">
        <f>VLOOKUP(G20,'Club Namen'!$B$3:$C$34,2,FALSE)</f>
        <v>Štruncovy Sady Stadion</v>
      </c>
      <c r="O20" s="79"/>
      <c r="P20" s="10"/>
      <c r="Q20" s="150"/>
      <c r="R20" s="51"/>
      <c r="S20" s="24" t="str">
        <f>VLOOKUP(2,'Dummy Table'!$DD$8:$DE$11,2,FALSE)</f>
        <v>CSKA Moscow</v>
      </c>
      <c r="T20" s="11">
        <f>SUM(U20:W20)</f>
        <v>0</v>
      </c>
      <c r="U20" s="11">
        <f>SUMIF('Dummy Table'!B$8:B$11,Gruppenphase!S20,'Dummy Table'!Q$8:Q$11)</f>
        <v>0</v>
      </c>
      <c r="V20" s="11">
        <f>SUMIF('Dummy Table'!B$8:B$11,Gruppenphase!S20,'Dummy Table'!R$8:R$11)</f>
        <v>0</v>
      </c>
      <c r="W20" s="11">
        <f>SUMIF('Dummy Table'!B$8:B$11,Gruppenphase!S20,'Dummy Table'!S$8:S$11)</f>
        <v>0</v>
      </c>
      <c r="X20" s="11" t="str">
        <f>CONCATENATE(SUMIF('Dummy Table'!B$8:B$11,Gruppenphase!S20,'Dummy Table'!T$8:T$11)," - ",SUMIF('Dummy Table'!B$8:B$11,Gruppenphase!S20,'Dummy Table'!U$8:U$11))</f>
        <v>0 - 0</v>
      </c>
      <c r="Y20" s="25">
        <f>U20*3+V20*1</f>
        <v>0</v>
      </c>
      <c r="Z20" s="12"/>
      <c r="AA20" s="12"/>
      <c r="AC20" s="7"/>
      <c r="AF20" s="1"/>
      <c r="DB20" s="18" t="s">
        <v>21</v>
      </c>
      <c r="DC20" s="19" t="s">
        <v>44</v>
      </c>
    </row>
    <row r="21" spans="2:107" s="6" customFormat="1" ht="15" customHeight="1" x14ac:dyDescent="0.2">
      <c r="B21" s="9"/>
      <c r="C21" s="76"/>
      <c r="D21" s="78">
        <v>1</v>
      </c>
      <c r="E21" s="78" t="s">
        <v>4</v>
      </c>
      <c r="F21" s="189">
        <v>40801</v>
      </c>
      <c r="G21" s="83" t="s">
        <v>187</v>
      </c>
      <c r="H21" s="77"/>
      <c r="I21" s="84"/>
      <c r="J21" s="84" t="s">
        <v>0</v>
      </c>
      <c r="K21" s="84"/>
      <c r="L21" s="77"/>
      <c r="M21" s="85" t="s">
        <v>188</v>
      </c>
      <c r="N21" s="85" t="str">
        <f>VLOOKUP(G21,'Club Namen'!$B$3:$C$34,2,FALSE)</f>
        <v>City of Manchester</v>
      </c>
      <c r="O21" s="79"/>
      <c r="P21" s="10"/>
      <c r="Q21" s="150"/>
      <c r="R21" s="51"/>
      <c r="S21" s="24" t="str">
        <f>VLOOKUP(3,'Dummy Table'!$DD$8:$DE$11,2,FALSE)</f>
        <v>Lille</v>
      </c>
      <c r="T21" s="11">
        <f>SUM(U21:W21)</f>
        <v>0</v>
      </c>
      <c r="U21" s="11">
        <f>SUMIF('Dummy Table'!B$8:B$11,Gruppenphase!S21,'Dummy Table'!Q$8:Q$11)</f>
        <v>0</v>
      </c>
      <c r="V21" s="11">
        <f>SUMIF('Dummy Table'!B$8:B$11,Gruppenphase!S21,'Dummy Table'!R$8:R$11)</f>
        <v>0</v>
      </c>
      <c r="W21" s="11">
        <f>SUMIF('Dummy Table'!B$8:B$11,Gruppenphase!S21,'Dummy Table'!S$8:S$11)</f>
        <v>0</v>
      </c>
      <c r="X21" s="11" t="str">
        <f>CONCATENATE(SUMIF('Dummy Table'!B$8:B$11,Gruppenphase!S21,'Dummy Table'!T$8:T$11)," - ",SUMIF('Dummy Table'!B$8:B$11,Gruppenphase!S21,'Dummy Table'!U$8:U$11))</f>
        <v>0 - 0</v>
      </c>
      <c r="Y21" s="25">
        <f>U21*3+V21*1</f>
        <v>0</v>
      </c>
      <c r="Z21" s="12"/>
      <c r="AA21" s="12"/>
      <c r="AC21" s="7"/>
      <c r="AF21" s="1"/>
      <c r="DB21" s="18" t="s">
        <v>1</v>
      </c>
      <c r="DC21" s="19" t="s">
        <v>45</v>
      </c>
    </row>
    <row r="22" spans="2:107" s="6" customFormat="1" ht="15" customHeight="1" x14ac:dyDescent="0.2">
      <c r="B22" s="9"/>
      <c r="C22" s="76"/>
      <c r="D22" s="78">
        <v>1</v>
      </c>
      <c r="E22" s="78" t="s">
        <v>4</v>
      </c>
      <c r="F22" s="189">
        <v>40801</v>
      </c>
      <c r="G22" s="83" t="s">
        <v>202</v>
      </c>
      <c r="H22" s="77"/>
      <c r="I22" s="84"/>
      <c r="J22" s="84" t="s">
        <v>0</v>
      </c>
      <c r="K22" s="84"/>
      <c r="L22" s="77"/>
      <c r="M22" s="85" t="s">
        <v>310</v>
      </c>
      <c r="N22" s="85" t="str">
        <f>VLOOKUP(G22,'Club Namen'!$B$3:$C$34,2,FALSE)</f>
        <v>El Madrigal</v>
      </c>
      <c r="O22" s="79"/>
      <c r="P22" s="10"/>
      <c r="Q22" s="150"/>
      <c r="R22" s="51"/>
      <c r="S22" s="26" t="str">
        <f>VLOOKUP(4,'Dummy Table'!$DD$8:$DE$11,2,FALSE)</f>
        <v>Trabzonspor</v>
      </c>
      <c r="T22" s="27">
        <f>SUM(U22:W22)</f>
        <v>0</v>
      </c>
      <c r="U22" s="27">
        <f>SUMIF('Dummy Table'!B$8:B$11,Gruppenphase!S22,'Dummy Table'!Q$8:Q$11)</f>
        <v>0</v>
      </c>
      <c r="V22" s="27">
        <f>SUMIF('Dummy Table'!B$8:B$11,Gruppenphase!S22,'Dummy Table'!R$8:R$11)</f>
        <v>0</v>
      </c>
      <c r="W22" s="27">
        <f>SUMIF('Dummy Table'!B$8:B$11,Gruppenphase!S22,'Dummy Table'!S$8:S$11)</f>
        <v>0</v>
      </c>
      <c r="X22" s="27" t="str">
        <f>CONCATENATE(SUMIF('Dummy Table'!B$8:B$11,Gruppenphase!S22,'Dummy Table'!T$8:T$11)," - ",SUMIF('Dummy Table'!B$8:B$11,Gruppenphase!S22,'Dummy Table'!U$8:U$11))</f>
        <v>0 - 0</v>
      </c>
      <c r="Y22" s="28">
        <f>U22*3+V22*1</f>
        <v>0</v>
      </c>
      <c r="Z22" s="12"/>
      <c r="AA22" s="12"/>
      <c r="AC22" s="7"/>
      <c r="AF22" s="1"/>
      <c r="DB22" s="18" t="s">
        <v>10</v>
      </c>
      <c r="DC22" s="19" t="s">
        <v>46</v>
      </c>
    </row>
    <row r="23" spans="2:107" s="6" customFormat="1" ht="15" customHeight="1" x14ac:dyDescent="0.2">
      <c r="B23" s="9"/>
      <c r="C23" s="76"/>
      <c r="D23" s="78">
        <v>1</v>
      </c>
      <c r="E23" s="78" t="s">
        <v>153</v>
      </c>
      <c r="F23" s="189">
        <v>40801</v>
      </c>
      <c r="G23" s="83" t="s">
        <v>190</v>
      </c>
      <c r="H23" s="77"/>
      <c r="I23" s="84"/>
      <c r="J23" s="84" t="s">
        <v>0</v>
      </c>
      <c r="K23" s="84"/>
      <c r="L23" s="77"/>
      <c r="M23" s="85" t="s">
        <v>189</v>
      </c>
      <c r="N23" s="85" t="str">
        <f>VLOOKUP(G23,'Club Namen'!$B$3:$C$34,2,FALSE)</f>
        <v>Stade Lille-Metropole</v>
      </c>
      <c r="O23" s="79"/>
      <c r="P23" s="10"/>
      <c r="Q23" s="150"/>
      <c r="R23" s="51"/>
      <c r="S23" s="10"/>
      <c r="T23" s="10"/>
      <c r="U23" s="10"/>
      <c r="V23" s="10"/>
      <c r="W23" s="10"/>
      <c r="X23" s="10"/>
      <c r="Y23" s="10"/>
      <c r="Z23" s="12"/>
      <c r="AA23" s="12"/>
      <c r="AC23" s="7"/>
      <c r="AF23" s="1"/>
      <c r="DB23" s="18" t="s">
        <v>25</v>
      </c>
      <c r="DC23" s="19" t="s">
        <v>47</v>
      </c>
    </row>
    <row r="24" spans="2:107" s="6" customFormat="1" ht="15" customHeight="1" x14ac:dyDescent="0.2">
      <c r="B24" s="9"/>
      <c r="C24" s="76"/>
      <c r="D24" s="78">
        <v>1</v>
      </c>
      <c r="E24" s="78" t="s">
        <v>153</v>
      </c>
      <c r="F24" s="189">
        <v>40801</v>
      </c>
      <c r="G24" s="83" t="s">
        <v>173</v>
      </c>
      <c r="H24" s="77"/>
      <c r="I24" s="84"/>
      <c r="J24" s="84" t="s">
        <v>0</v>
      </c>
      <c r="K24" s="84"/>
      <c r="L24" s="77"/>
      <c r="M24" s="85" t="s">
        <v>191</v>
      </c>
      <c r="N24" s="85" t="str">
        <f>VLOOKUP(G24,'Club Namen'!$B$3:$C$34,2,FALSE)</f>
        <v>Giuseppe Meazza</v>
      </c>
      <c r="O24" s="79"/>
      <c r="P24" s="10"/>
      <c r="Q24" s="150"/>
      <c r="R24" s="51"/>
      <c r="S24" s="10"/>
      <c r="T24" s="10"/>
      <c r="U24" s="10"/>
      <c r="V24" s="10"/>
      <c r="W24" s="10"/>
      <c r="X24" s="10"/>
      <c r="Y24" s="10"/>
      <c r="Z24" s="12"/>
      <c r="AA24" s="12"/>
      <c r="AC24" s="7"/>
      <c r="AF24" s="1"/>
      <c r="DB24" s="18" t="s">
        <v>15</v>
      </c>
      <c r="DC24" s="19" t="s">
        <v>48</v>
      </c>
    </row>
    <row r="25" spans="2:107" s="6" customFormat="1" ht="15" customHeight="1" x14ac:dyDescent="0.2">
      <c r="B25" s="9"/>
      <c r="C25" s="76"/>
      <c r="D25" s="78">
        <v>1</v>
      </c>
      <c r="E25" s="78" t="s">
        <v>154</v>
      </c>
      <c r="F25" s="189">
        <v>40801</v>
      </c>
      <c r="G25" s="83" t="s">
        <v>178</v>
      </c>
      <c r="H25" s="77"/>
      <c r="I25" s="84"/>
      <c r="J25" s="84" t="s">
        <v>0</v>
      </c>
      <c r="K25" s="84"/>
      <c r="L25" s="77"/>
      <c r="M25" s="85" t="s">
        <v>192</v>
      </c>
      <c r="N25" s="85" t="str">
        <f>VLOOKUP(G25,'Club Namen'!$B$3:$C$34,2,FALSE)</f>
        <v>St. Jakob Park</v>
      </c>
      <c r="O25" s="79"/>
      <c r="P25" s="10"/>
      <c r="Q25" s="150"/>
      <c r="R25" s="51"/>
      <c r="S25" s="15" t="s">
        <v>239</v>
      </c>
      <c r="T25" s="16" t="s">
        <v>230</v>
      </c>
      <c r="U25" s="16" t="s">
        <v>156</v>
      </c>
      <c r="V25" s="16" t="s">
        <v>231</v>
      </c>
      <c r="W25" s="16" t="s">
        <v>232</v>
      </c>
      <c r="X25" s="16" t="s">
        <v>233</v>
      </c>
      <c r="Y25" s="17" t="s">
        <v>34</v>
      </c>
      <c r="Z25" s="12"/>
      <c r="AA25" s="12"/>
      <c r="AC25" s="7"/>
      <c r="AF25" s="1"/>
      <c r="DB25" s="18" t="s">
        <v>11</v>
      </c>
      <c r="DC25" s="19" t="s">
        <v>49</v>
      </c>
    </row>
    <row r="26" spans="2:107" s="6" customFormat="1" ht="15" customHeight="1" x14ac:dyDescent="0.2">
      <c r="B26" s="9"/>
      <c r="C26" s="76"/>
      <c r="D26" s="78">
        <v>1</v>
      </c>
      <c r="E26" s="78" t="s">
        <v>154</v>
      </c>
      <c r="F26" s="189">
        <v>40801</v>
      </c>
      <c r="G26" s="83" t="s">
        <v>176</v>
      </c>
      <c r="H26" s="77"/>
      <c r="I26" s="84"/>
      <c r="J26" s="84" t="s">
        <v>0</v>
      </c>
      <c r="K26" s="84"/>
      <c r="L26" s="77"/>
      <c r="M26" s="85" t="s">
        <v>160</v>
      </c>
      <c r="N26" s="85" t="str">
        <f>VLOOKUP(G26,'Club Namen'!$B$3:$C$34,2,FALSE)</f>
        <v>Estadio da Luz</v>
      </c>
      <c r="O26" s="79"/>
      <c r="P26" s="10"/>
      <c r="Q26" s="150"/>
      <c r="R26" s="51"/>
      <c r="S26" s="20" t="str">
        <f>VLOOKUP(1,'Dummy Table'!$DD$12:$DE$15,2,FALSE)</f>
        <v>Manchester United</v>
      </c>
      <c r="T26" s="21">
        <f>SUM(U26:W26)</f>
        <v>0</v>
      </c>
      <c r="U26" s="21">
        <f>SUMIF('Dummy Table'!B$12:B$15,Gruppenphase!S26,'Dummy Table'!Q$12:Q$15)</f>
        <v>0</v>
      </c>
      <c r="V26" s="21">
        <f>SUMIF('Dummy Table'!B$12:B$15,Gruppenphase!S26,'Dummy Table'!R$12:R$15)</f>
        <v>0</v>
      </c>
      <c r="W26" s="21">
        <f>SUMIF('Dummy Table'!B$12:B$15,Gruppenphase!S26,'Dummy Table'!S$12:S$15)</f>
        <v>0</v>
      </c>
      <c r="X26" s="21" t="str">
        <f>CONCATENATE(SUMIF('Dummy Table'!B$12:B$15,Gruppenphase!S26,'Dummy Table'!T$12:T$15)," - ",SUMIF('Dummy Table'!B$12:B$15,Gruppenphase!S26,'Dummy Table'!U$12:U$15))</f>
        <v>0 - 0</v>
      </c>
      <c r="Y26" s="22">
        <f>U26*3+V26*1</f>
        <v>0</v>
      </c>
      <c r="Z26" s="12"/>
      <c r="AA26" s="12"/>
      <c r="AC26" s="7"/>
      <c r="AF26" s="1"/>
      <c r="DB26" s="18" t="s">
        <v>14</v>
      </c>
      <c r="DC26" s="19" t="s">
        <v>50</v>
      </c>
    </row>
    <row r="27" spans="2:107" s="6" customFormat="1" ht="15" customHeight="1" x14ac:dyDescent="0.2">
      <c r="B27" s="9"/>
      <c r="C27" s="76"/>
      <c r="D27" s="78">
        <v>1</v>
      </c>
      <c r="E27" s="78" t="s">
        <v>2</v>
      </c>
      <c r="F27" s="189">
        <v>40801</v>
      </c>
      <c r="G27" s="83" t="s">
        <v>203</v>
      </c>
      <c r="H27" s="77"/>
      <c r="I27" s="84"/>
      <c r="J27" s="84" t="s">
        <v>0</v>
      </c>
      <c r="K27" s="84"/>
      <c r="L27" s="77"/>
      <c r="M27" s="85" t="s">
        <v>150</v>
      </c>
      <c r="N27" s="85" t="str">
        <f>VLOOKUP(G27,'Club Namen'!$B$3:$C$34,2,FALSE)</f>
        <v>Maksimir</v>
      </c>
      <c r="O27" s="79"/>
      <c r="P27" s="10"/>
      <c r="Q27" s="150"/>
      <c r="R27" s="51"/>
      <c r="S27" s="24" t="str">
        <f>VLOOKUP(2,'Dummy Table'!$DD$12:$DE$15,2,FALSE)</f>
        <v>Benfica</v>
      </c>
      <c r="T27" s="11">
        <f>SUM(U27:W27)</f>
        <v>0</v>
      </c>
      <c r="U27" s="11">
        <f>SUMIF('Dummy Table'!B$12:B$15,Gruppenphase!S27,'Dummy Table'!Q$12:Q$15)</f>
        <v>0</v>
      </c>
      <c r="V27" s="11">
        <f>SUMIF('Dummy Table'!B$12:B$15,Gruppenphase!S27,'Dummy Table'!R$12:R$15)</f>
        <v>0</v>
      </c>
      <c r="W27" s="11">
        <f>SUMIF('Dummy Table'!B$12:B$15,Gruppenphase!S27,'Dummy Table'!S$12:S$15)</f>
        <v>0</v>
      </c>
      <c r="X27" s="11" t="str">
        <f>CONCATENATE(SUMIF('Dummy Table'!B$12:B$15,Gruppenphase!S27,'Dummy Table'!T$12:T$15)," - ",SUMIF('Dummy Table'!B$12:B$15,Gruppenphase!S27,'Dummy Table'!U$12:U$15))</f>
        <v>0 - 0</v>
      </c>
      <c r="Y27" s="25">
        <f>U27*3+V27*1</f>
        <v>0</v>
      </c>
      <c r="Z27" s="12"/>
      <c r="AA27" s="12"/>
      <c r="AC27" s="7"/>
      <c r="AF27" s="1"/>
      <c r="DB27" s="18" t="s">
        <v>31</v>
      </c>
      <c r="DC27" s="19" t="s">
        <v>51</v>
      </c>
    </row>
    <row r="28" spans="2:107" s="6" customFormat="1" ht="15" customHeight="1" x14ac:dyDescent="0.2">
      <c r="B28" s="9"/>
      <c r="C28" s="76"/>
      <c r="D28" s="78">
        <v>1</v>
      </c>
      <c r="E28" s="78" t="s">
        <v>2</v>
      </c>
      <c r="F28" s="189">
        <v>40801</v>
      </c>
      <c r="G28" s="83" t="s">
        <v>179</v>
      </c>
      <c r="H28" s="77"/>
      <c r="I28" s="84"/>
      <c r="J28" s="84" t="s">
        <v>0</v>
      </c>
      <c r="K28" s="84"/>
      <c r="L28" s="77"/>
      <c r="M28" s="85" t="s">
        <v>148</v>
      </c>
      <c r="N28" s="85" t="str">
        <f>VLOOKUP(G28,'Club Namen'!$B$3:$C$34,2,FALSE)</f>
        <v>Amsterdam Arena</v>
      </c>
      <c r="O28" s="79"/>
      <c r="P28" s="10"/>
      <c r="Q28" s="150"/>
      <c r="R28" s="51"/>
      <c r="S28" s="24" t="str">
        <f>VLOOKUP(3,'Dummy Table'!$DD$12:$DE$15,2,FALSE)</f>
        <v>Basel</v>
      </c>
      <c r="T28" s="11">
        <f>SUM(U28:W28)</f>
        <v>0</v>
      </c>
      <c r="U28" s="11">
        <f>SUMIF('Dummy Table'!B$12:B$15,Gruppenphase!S28,'Dummy Table'!Q$12:Q$15)</f>
        <v>0</v>
      </c>
      <c r="V28" s="11">
        <f>SUMIF('Dummy Table'!B$12:B$15,Gruppenphase!S28,'Dummy Table'!R$12:R$15)</f>
        <v>0</v>
      </c>
      <c r="W28" s="11">
        <f>SUMIF('Dummy Table'!B$12:B$15,Gruppenphase!S28,'Dummy Table'!S$12:S$15)</f>
        <v>0</v>
      </c>
      <c r="X28" s="11" t="str">
        <f>CONCATENATE(SUMIF('Dummy Table'!B$12:B$15,Gruppenphase!S28,'Dummy Table'!T$12:T$15)," - ",SUMIF('Dummy Table'!B$12:B$15,Gruppenphase!S28,'Dummy Table'!U$12:U$15))</f>
        <v>0 - 0</v>
      </c>
      <c r="Y28" s="25">
        <f>U28*3+V28*1</f>
        <v>0</v>
      </c>
      <c r="Z28" s="12"/>
      <c r="AA28" s="12"/>
      <c r="AC28" s="7"/>
      <c r="AF28" s="1"/>
      <c r="DB28" s="18" t="s">
        <v>19</v>
      </c>
      <c r="DC28" s="19" t="s">
        <v>52</v>
      </c>
    </row>
    <row r="29" spans="2:107" s="6" customFormat="1" ht="15" customHeight="1" x14ac:dyDescent="0.2">
      <c r="B29" s="9"/>
      <c r="C29" s="76"/>
      <c r="D29" s="78">
        <f>D13+1</f>
        <v>2</v>
      </c>
      <c r="E29" s="78" t="s">
        <v>153</v>
      </c>
      <c r="F29" s="189">
        <v>40813</v>
      </c>
      <c r="G29" s="83" t="s">
        <v>189</v>
      </c>
      <c r="H29" s="77"/>
      <c r="I29" s="84"/>
      <c r="J29" s="84" t="s">
        <v>0</v>
      </c>
      <c r="K29" s="84"/>
      <c r="L29" s="77"/>
      <c r="M29" s="85" t="s">
        <v>173</v>
      </c>
      <c r="N29" s="85" t="str">
        <f>VLOOKUP(G29,'Club Namen'!$B$3:$C$34,2,FALSE)</f>
        <v>Luzhniki</v>
      </c>
      <c r="O29" s="79"/>
      <c r="P29" s="10"/>
      <c r="Q29" s="150"/>
      <c r="R29" s="51"/>
      <c r="S29" s="26" t="str">
        <f>VLOOKUP(4,'Dummy Table'!$DD$12:$DE$15,2,FALSE)</f>
        <v>Oţelul Galaţi</v>
      </c>
      <c r="T29" s="27">
        <f>SUM(U29:W29)</f>
        <v>0</v>
      </c>
      <c r="U29" s="27">
        <f>SUMIF('Dummy Table'!B$12:B$15,Gruppenphase!S29,'Dummy Table'!Q$12:Q$15)</f>
        <v>0</v>
      </c>
      <c r="V29" s="27">
        <f>SUMIF('Dummy Table'!B$12:B$15,Gruppenphase!S29,'Dummy Table'!R$12:R$15)</f>
        <v>0</v>
      </c>
      <c r="W29" s="27">
        <f>SUMIF('Dummy Table'!B$12:B$15,Gruppenphase!S29,'Dummy Table'!S$12:S$15)</f>
        <v>0</v>
      </c>
      <c r="X29" s="27" t="str">
        <f>CONCATENATE(SUMIF('Dummy Table'!B$12:B$15,Gruppenphase!S29,'Dummy Table'!T$12:T$15)," - ",SUMIF('Dummy Table'!B$12:B$15,Gruppenphase!S29,'Dummy Table'!U$12:U$15))</f>
        <v>0 - 0</v>
      </c>
      <c r="Y29" s="28">
        <f>U29*3+V29*1</f>
        <v>0</v>
      </c>
      <c r="Z29" s="12"/>
      <c r="AA29" s="12"/>
      <c r="AC29" s="7"/>
      <c r="AF29" s="1"/>
      <c r="DB29" s="18" t="s">
        <v>13</v>
      </c>
      <c r="DC29" s="19" t="s">
        <v>53</v>
      </c>
    </row>
    <row r="30" spans="2:107" s="6" customFormat="1" ht="15" customHeight="1" x14ac:dyDescent="0.2">
      <c r="B30" s="9"/>
      <c r="C30" s="76"/>
      <c r="D30" s="78">
        <f t="shared" ref="D30:D93" si="0">D14+1</f>
        <v>2</v>
      </c>
      <c r="E30" s="78" t="s">
        <v>4</v>
      </c>
      <c r="F30" s="189">
        <v>40814</v>
      </c>
      <c r="G30" s="83" t="s">
        <v>310</v>
      </c>
      <c r="H30" s="77"/>
      <c r="I30" s="84"/>
      <c r="J30" s="84" t="s">
        <v>0</v>
      </c>
      <c r="K30" s="84"/>
      <c r="L30" s="77"/>
      <c r="M30" s="85" t="s">
        <v>187</v>
      </c>
      <c r="N30" s="85" t="str">
        <f>VLOOKUP(G30,'Club Namen'!$B$3:$C$34,2,FALSE)</f>
        <v>Allianz Arena</v>
      </c>
      <c r="O30" s="79"/>
      <c r="P30" s="10"/>
      <c r="Q30" s="150"/>
      <c r="R30" s="51"/>
      <c r="S30" s="10"/>
      <c r="T30" s="10"/>
      <c r="U30" s="10"/>
      <c r="V30" s="10"/>
      <c r="W30" s="10"/>
      <c r="X30" s="10"/>
      <c r="Y30" s="10"/>
      <c r="Z30" s="12"/>
      <c r="AA30" s="12"/>
      <c r="AC30" s="7"/>
      <c r="AF30" s="1"/>
      <c r="DB30" s="18" t="s">
        <v>12</v>
      </c>
      <c r="DC30" s="19" t="s">
        <v>54</v>
      </c>
    </row>
    <row r="31" spans="2:107" s="6" customFormat="1" ht="15" customHeight="1" x14ac:dyDescent="0.2">
      <c r="B31" s="9"/>
      <c r="C31" s="76"/>
      <c r="D31" s="78">
        <f t="shared" si="0"/>
        <v>2</v>
      </c>
      <c r="E31" s="78" t="s">
        <v>4</v>
      </c>
      <c r="F31" s="189">
        <v>40814</v>
      </c>
      <c r="G31" s="83" t="s">
        <v>188</v>
      </c>
      <c r="H31" s="77"/>
      <c r="I31" s="84"/>
      <c r="J31" s="84" t="s">
        <v>0</v>
      </c>
      <c r="K31" s="84"/>
      <c r="L31" s="77"/>
      <c r="M31" s="85" t="s">
        <v>202</v>
      </c>
      <c r="N31" s="85" t="str">
        <f>VLOOKUP(G31,'Club Namen'!$B$3:$C$34,2,FALSE)</f>
        <v>San Paolo</v>
      </c>
      <c r="O31" s="79"/>
      <c r="P31" s="10"/>
      <c r="Q31" s="150"/>
      <c r="R31" s="51"/>
      <c r="S31" s="10"/>
      <c r="T31" s="10"/>
      <c r="U31" s="10"/>
      <c r="V31" s="10"/>
      <c r="W31" s="10"/>
      <c r="X31" s="10"/>
      <c r="Y31" s="10"/>
      <c r="Z31" s="12"/>
      <c r="AA31" s="12"/>
      <c r="AC31" s="7"/>
      <c r="AF31" s="1"/>
      <c r="DB31" s="18" t="s">
        <v>16</v>
      </c>
      <c r="DC31" s="19" t="s">
        <v>55</v>
      </c>
    </row>
    <row r="32" spans="2:107" s="6" customFormat="1" ht="15" customHeight="1" x14ac:dyDescent="0.2">
      <c r="B32" s="9"/>
      <c r="C32" s="76"/>
      <c r="D32" s="78">
        <f t="shared" si="0"/>
        <v>2</v>
      </c>
      <c r="E32" s="78" t="s">
        <v>153</v>
      </c>
      <c r="F32" s="189">
        <v>40814</v>
      </c>
      <c r="G32" s="83" t="s">
        <v>191</v>
      </c>
      <c r="H32" s="77"/>
      <c r="I32" s="84"/>
      <c r="J32" s="84" t="s">
        <v>0</v>
      </c>
      <c r="K32" s="84"/>
      <c r="L32" s="77"/>
      <c r="M32" s="85" t="s">
        <v>190</v>
      </c>
      <c r="N32" s="85" t="str">
        <f>VLOOKUP(G32,'Club Namen'!$B$3:$C$34,2,FALSE)</f>
        <v>Hüseyin Avni Aker</v>
      </c>
      <c r="O32" s="79"/>
      <c r="P32" s="10"/>
      <c r="Q32" s="150"/>
      <c r="R32" s="51"/>
      <c r="S32" s="15" t="s">
        <v>238</v>
      </c>
      <c r="T32" s="16" t="s">
        <v>230</v>
      </c>
      <c r="U32" s="16" t="s">
        <v>156</v>
      </c>
      <c r="V32" s="16" t="s">
        <v>231</v>
      </c>
      <c r="W32" s="16" t="s">
        <v>232</v>
      </c>
      <c r="X32" s="16" t="s">
        <v>233</v>
      </c>
      <c r="Y32" s="17" t="s">
        <v>34</v>
      </c>
      <c r="Z32" s="12"/>
      <c r="AA32" s="12"/>
      <c r="AC32" s="7"/>
      <c r="AF32" s="1"/>
      <c r="DB32" s="18" t="s">
        <v>26</v>
      </c>
      <c r="DC32" s="19" t="s">
        <v>56</v>
      </c>
    </row>
    <row r="33" spans="2:107" s="6" customFormat="1" ht="15" customHeight="1" x14ac:dyDescent="0.2">
      <c r="B33" s="9"/>
      <c r="C33" s="76"/>
      <c r="D33" s="78">
        <f t="shared" si="0"/>
        <v>2</v>
      </c>
      <c r="E33" s="78" t="s">
        <v>154</v>
      </c>
      <c r="F33" s="189">
        <v>40814</v>
      </c>
      <c r="G33" s="83" t="s">
        <v>160</v>
      </c>
      <c r="H33" s="77"/>
      <c r="I33" s="84"/>
      <c r="J33" s="84" t="s">
        <v>0</v>
      </c>
      <c r="K33" s="84"/>
      <c r="L33" s="77"/>
      <c r="M33" s="85" t="s">
        <v>178</v>
      </c>
      <c r="N33" s="85" t="str">
        <f>VLOOKUP(G33,'Club Namen'!$B$3:$C$34,2,FALSE)</f>
        <v>Old Trafford</v>
      </c>
      <c r="O33" s="79"/>
      <c r="P33" s="10"/>
      <c r="Q33" s="150"/>
      <c r="R33" s="51"/>
      <c r="S33" s="20" t="str">
        <f>VLOOKUP(1,'Dummy Table'!$DD$16:$DE$19,2,FALSE)</f>
        <v>Real Madrid</v>
      </c>
      <c r="T33" s="21">
        <f>SUM(U33:W33)</f>
        <v>0</v>
      </c>
      <c r="U33" s="21">
        <f>SUMIF('Dummy Table'!B$16:B$19,Gruppenphase!S33,'Dummy Table'!Q$16:Q$19)</f>
        <v>0</v>
      </c>
      <c r="V33" s="21">
        <f>SUMIF('Dummy Table'!B$16:B$19,Gruppenphase!S33,'Dummy Table'!R$16:R$19)</f>
        <v>0</v>
      </c>
      <c r="W33" s="21">
        <f>SUMIF('Dummy Table'!B$16:B$19,Gruppenphase!S33,'Dummy Table'!S$16:S$19)</f>
        <v>0</v>
      </c>
      <c r="X33" s="21" t="str">
        <f>CONCATENATE(SUMIF('Dummy Table'!B$16:B$19,Gruppenphase!S33,'Dummy Table'!T$16:T$19)," - ",SUMIF('Dummy Table'!B$16:B$19,Gruppenphase!S33,'Dummy Table'!U$16:U$19))</f>
        <v>0 - 0</v>
      </c>
      <c r="Y33" s="22">
        <f>U33*3+V33*1</f>
        <v>0</v>
      </c>
      <c r="Z33" s="12"/>
      <c r="AA33" s="12"/>
      <c r="AC33" s="7"/>
      <c r="AF33" s="1"/>
      <c r="DB33" s="18" t="s">
        <v>22</v>
      </c>
      <c r="DC33" s="19" t="s">
        <v>57</v>
      </c>
    </row>
    <row r="34" spans="2:107" s="6" customFormat="1" ht="15" customHeight="1" x14ac:dyDescent="0.2">
      <c r="B34" s="9"/>
      <c r="C34" s="76"/>
      <c r="D34" s="78">
        <f t="shared" si="0"/>
        <v>2</v>
      </c>
      <c r="E34" s="78" t="s">
        <v>154</v>
      </c>
      <c r="F34" s="189">
        <v>40814</v>
      </c>
      <c r="G34" s="83" t="s">
        <v>192</v>
      </c>
      <c r="H34" s="77"/>
      <c r="I34" s="84"/>
      <c r="J34" s="84" t="s">
        <v>0</v>
      </c>
      <c r="K34" s="84"/>
      <c r="L34" s="77"/>
      <c r="M34" s="85" t="s">
        <v>176</v>
      </c>
      <c r="N34" s="85" t="str">
        <f>VLOOKUP(G34,'Club Namen'!$B$3:$C$34,2,FALSE)</f>
        <v>Oţelul</v>
      </c>
      <c r="O34" s="79"/>
      <c r="P34" s="10"/>
      <c r="Q34" s="150"/>
      <c r="R34" s="51"/>
      <c r="S34" s="24" t="str">
        <f>VLOOKUP(2,'Dummy Table'!$DD$16:$DE$19,2,FALSE)</f>
        <v>Lyon</v>
      </c>
      <c r="T34" s="11">
        <f>SUM(U34:W34)</f>
        <v>0</v>
      </c>
      <c r="U34" s="11">
        <f>SUMIF('Dummy Table'!B$16:B$19,Gruppenphase!S34,'Dummy Table'!Q$16:Q$19)</f>
        <v>0</v>
      </c>
      <c r="V34" s="11">
        <f>SUMIF('Dummy Table'!B$16:B$19,Gruppenphase!S34,'Dummy Table'!R$16:R$19)</f>
        <v>0</v>
      </c>
      <c r="W34" s="11">
        <f>SUMIF('Dummy Table'!B$16:B$19,Gruppenphase!S34,'Dummy Table'!S$16:S$19)</f>
        <v>0</v>
      </c>
      <c r="X34" s="11" t="str">
        <f>CONCATENATE(SUMIF('Dummy Table'!B$16:B$19,Gruppenphase!S34,'Dummy Table'!T$16:T$19)," - ",SUMIF('Dummy Table'!B$16:B$19,Gruppenphase!S34,'Dummy Table'!U$16:U$19))</f>
        <v>0 - 0</v>
      </c>
      <c r="Y34" s="25">
        <f>U34*3+V34*1</f>
        <v>0</v>
      </c>
      <c r="Z34" s="12"/>
      <c r="AA34" s="12"/>
      <c r="AC34" s="7"/>
      <c r="AF34" s="1"/>
      <c r="DB34" s="18" t="s">
        <v>20</v>
      </c>
      <c r="DC34" s="19" t="s">
        <v>58</v>
      </c>
    </row>
    <row r="35" spans="2:107" s="6" customFormat="1" ht="15" customHeight="1" x14ac:dyDescent="0.2">
      <c r="B35" s="9"/>
      <c r="C35" s="76"/>
      <c r="D35" s="78">
        <f t="shared" si="0"/>
        <v>2</v>
      </c>
      <c r="E35" s="78" t="s">
        <v>2</v>
      </c>
      <c r="F35" s="189">
        <v>40814</v>
      </c>
      <c r="G35" s="83" t="s">
        <v>148</v>
      </c>
      <c r="H35" s="77"/>
      <c r="I35" s="84"/>
      <c r="J35" s="84" t="s">
        <v>0</v>
      </c>
      <c r="K35" s="84"/>
      <c r="L35" s="77"/>
      <c r="M35" s="85" t="s">
        <v>203</v>
      </c>
      <c r="N35" s="85" t="str">
        <f>VLOOKUP(G35,'Club Namen'!$B$3:$C$34,2,FALSE)</f>
        <v>Stade de Gerland</v>
      </c>
      <c r="O35" s="79"/>
      <c r="P35" s="10"/>
      <c r="Q35" s="150"/>
      <c r="R35" s="51"/>
      <c r="S35" s="24" t="str">
        <f>VLOOKUP(3,'Dummy Table'!$DD$16:$DE$19,2,FALSE)</f>
        <v>Ajax</v>
      </c>
      <c r="T35" s="11">
        <f>SUM(U35:W35)</f>
        <v>0</v>
      </c>
      <c r="U35" s="11">
        <f>SUMIF('Dummy Table'!B$16:B$19,Gruppenphase!S35,'Dummy Table'!Q$16:Q$19)</f>
        <v>0</v>
      </c>
      <c r="V35" s="11">
        <f>SUMIF('Dummy Table'!B$16:B$19,Gruppenphase!S35,'Dummy Table'!R$16:R$19)</f>
        <v>0</v>
      </c>
      <c r="W35" s="11">
        <f>SUMIF('Dummy Table'!B$16:B$19,Gruppenphase!S35,'Dummy Table'!S$16:S$19)</f>
        <v>0</v>
      </c>
      <c r="X35" s="11" t="str">
        <f>CONCATENATE(SUMIF('Dummy Table'!B$16:B$19,Gruppenphase!S35,'Dummy Table'!T$16:T$19)," - ",SUMIF('Dummy Table'!B$16:B$19,Gruppenphase!S35,'Dummy Table'!U$16:U$19))</f>
        <v>0 - 0</v>
      </c>
      <c r="Y35" s="25">
        <f>U35*3+V35*1</f>
        <v>0</v>
      </c>
      <c r="Z35" s="12"/>
      <c r="AA35" s="12"/>
      <c r="AC35" s="7"/>
      <c r="AF35" s="1"/>
      <c r="DB35" s="18" t="s">
        <v>9</v>
      </c>
      <c r="DC35" s="19" t="s">
        <v>59</v>
      </c>
    </row>
    <row r="36" spans="2:107" s="6" customFormat="1" ht="15" customHeight="1" x14ac:dyDescent="0.2">
      <c r="B36" s="9"/>
      <c r="C36" s="76"/>
      <c r="D36" s="78">
        <f t="shared" si="0"/>
        <v>2</v>
      </c>
      <c r="E36" s="78" t="s">
        <v>2</v>
      </c>
      <c r="F36" s="189">
        <v>40814</v>
      </c>
      <c r="G36" s="83" t="s">
        <v>150</v>
      </c>
      <c r="H36" s="77"/>
      <c r="I36" s="84"/>
      <c r="J36" s="84" t="s">
        <v>0</v>
      </c>
      <c r="K36" s="84"/>
      <c r="L36" s="77"/>
      <c r="M36" s="85" t="s">
        <v>179</v>
      </c>
      <c r="N36" s="85" t="str">
        <f>VLOOKUP(G36,'Club Namen'!$B$3:$C$34,2,FALSE)</f>
        <v>Santiago Bernabeu</v>
      </c>
      <c r="O36" s="79"/>
      <c r="P36" s="10"/>
      <c r="Q36" s="150"/>
      <c r="R36" s="51"/>
      <c r="S36" s="26" t="str">
        <f>VLOOKUP(4,'Dummy Table'!$DD$16:$DE$19,2,FALSE)</f>
        <v>Dinamo Zagreb</v>
      </c>
      <c r="T36" s="27">
        <f>SUM(U36:W36)</f>
        <v>0</v>
      </c>
      <c r="U36" s="27">
        <f>SUMIF('Dummy Table'!B$16:B$19,Gruppenphase!S36,'Dummy Table'!Q$16:Q$19)</f>
        <v>0</v>
      </c>
      <c r="V36" s="27">
        <f>SUMIF('Dummy Table'!B$16:B$19,Gruppenphase!S36,'Dummy Table'!R$16:R$19)</f>
        <v>0</v>
      </c>
      <c r="W36" s="27">
        <f>SUMIF('Dummy Table'!B$16:B$19,Gruppenphase!S36,'Dummy Table'!S$16:S$19)</f>
        <v>0</v>
      </c>
      <c r="X36" s="27" t="str">
        <f>CONCATENATE(SUMIF('Dummy Table'!B$16:B$19,Gruppenphase!S36,'Dummy Table'!T$16:T$19)," - ",SUMIF('Dummy Table'!B$16:B$19,Gruppenphase!S36,'Dummy Table'!U$16:U$19))</f>
        <v>0 - 0</v>
      </c>
      <c r="Y36" s="28">
        <f>U36*3+V36*1</f>
        <v>0</v>
      </c>
      <c r="Z36" s="12"/>
      <c r="AA36" s="12"/>
      <c r="AC36" s="7"/>
      <c r="AF36" s="1"/>
      <c r="DB36" s="18" t="s">
        <v>27</v>
      </c>
      <c r="DC36" s="19" t="s">
        <v>60</v>
      </c>
    </row>
    <row r="37" spans="2:107" s="6" customFormat="1" ht="15" customHeight="1" x14ac:dyDescent="0.2">
      <c r="B37" s="9"/>
      <c r="C37" s="76"/>
      <c r="D37" s="78">
        <f t="shared" si="0"/>
        <v>2</v>
      </c>
      <c r="E37" s="78" t="s">
        <v>156</v>
      </c>
      <c r="F37" s="189">
        <v>40814</v>
      </c>
      <c r="G37" s="83" t="s">
        <v>198</v>
      </c>
      <c r="H37" s="77"/>
      <c r="I37" s="84"/>
      <c r="J37" s="84" t="s">
        <v>0</v>
      </c>
      <c r="K37" s="84"/>
      <c r="L37" s="77"/>
      <c r="M37" s="85" t="s">
        <v>197</v>
      </c>
      <c r="N37" s="85" t="str">
        <f>VLOOKUP(G37,'Club Namen'!$B$3:$C$34,2,FALSE)</f>
        <v>Petrovsky Stadium</v>
      </c>
      <c r="O37" s="79"/>
      <c r="P37" s="10"/>
      <c r="Q37" s="150"/>
      <c r="R37" s="51"/>
      <c r="S37" s="10"/>
      <c r="T37" s="10"/>
      <c r="U37" s="10"/>
      <c r="V37" s="10"/>
      <c r="W37" s="10"/>
      <c r="X37" s="10"/>
      <c r="Y37" s="10"/>
      <c r="Z37" s="12"/>
      <c r="AA37" s="12"/>
      <c r="AC37" s="7"/>
      <c r="DB37" s="18" t="s">
        <v>29</v>
      </c>
      <c r="DC37" s="19" t="s">
        <v>61</v>
      </c>
    </row>
    <row r="38" spans="2:107" s="6" customFormat="1" ht="15" customHeight="1" x14ac:dyDescent="0.2">
      <c r="B38" s="9"/>
      <c r="C38" s="76"/>
      <c r="D38" s="78">
        <f t="shared" si="0"/>
        <v>2</v>
      </c>
      <c r="E38" s="78" t="s">
        <v>155</v>
      </c>
      <c r="F38" s="189">
        <v>40815</v>
      </c>
      <c r="G38" s="83" t="s">
        <v>177</v>
      </c>
      <c r="H38" s="77"/>
      <c r="I38" s="84"/>
      <c r="J38" s="84" t="s">
        <v>0</v>
      </c>
      <c r="K38" s="84"/>
      <c r="L38" s="77"/>
      <c r="M38" s="85" t="s">
        <v>145</v>
      </c>
      <c r="N38" s="85" t="str">
        <f>VLOOKUP(G38,'Club Namen'!$B$3:$C$34,2,FALSE)</f>
        <v>Mestalla</v>
      </c>
      <c r="O38" s="79"/>
      <c r="P38" s="10"/>
      <c r="Q38" s="150"/>
      <c r="R38" s="51"/>
      <c r="S38" s="10"/>
      <c r="T38" s="10"/>
      <c r="U38" s="10"/>
      <c r="V38" s="10"/>
      <c r="W38" s="10"/>
      <c r="X38" s="10"/>
      <c r="Y38" s="10"/>
      <c r="Z38" s="12"/>
      <c r="AA38" s="12"/>
      <c r="AB38" s="10"/>
      <c r="AC38" s="30"/>
      <c r="DB38" s="29"/>
      <c r="DC38" s="19" t="s">
        <v>62</v>
      </c>
    </row>
    <row r="39" spans="2:107" s="6" customFormat="1" ht="15" customHeight="1" x14ac:dyDescent="0.2">
      <c r="B39" s="9"/>
      <c r="C39" s="76"/>
      <c r="D39" s="78">
        <f t="shared" si="0"/>
        <v>2</v>
      </c>
      <c r="E39" s="78" t="s">
        <v>155</v>
      </c>
      <c r="F39" s="189">
        <v>40815</v>
      </c>
      <c r="G39" s="83" t="s">
        <v>193</v>
      </c>
      <c r="H39" s="77"/>
      <c r="I39" s="84"/>
      <c r="J39" s="84" t="s">
        <v>0</v>
      </c>
      <c r="K39" s="84"/>
      <c r="L39" s="77"/>
      <c r="M39" s="85" t="s">
        <v>194</v>
      </c>
      <c r="N39" s="85" t="str">
        <f>VLOOKUP(G39,'Club Namen'!$B$3:$C$34,2,FALSE)</f>
        <v>Bay Arena</v>
      </c>
      <c r="O39" s="79"/>
      <c r="P39" s="10"/>
      <c r="Q39" s="150"/>
      <c r="R39" s="51"/>
      <c r="S39" s="15" t="s">
        <v>237</v>
      </c>
      <c r="T39" s="16" t="s">
        <v>230</v>
      </c>
      <c r="U39" s="16" t="s">
        <v>156</v>
      </c>
      <c r="V39" s="16" t="s">
        <v>231</v>
      </c>
      <c r="W39" s="16" t="s">
        <v>232</v>
      </c>
      <c r="X39" s="16" t="s">
        <v>233</v>
      </c>
      <c r="Y39" s="17" t="s">
        <v>34</v>
      </c>
      <c r="Z39" s="12"/>
      <c r="AA39" s="12"/>
      <c r="AC39" s="7"/>
      <c r="DB39" s="29"/>
      <c r="DC39" s="19" t="s">
        <v>63</v>
      </c>
    </row>
    <row r="40" spans="2:107" s="6" customFormat="1" ht="15" customHeight="1" x14ac:dyDescent="0.2">
      <c r="B40" s="9"/>
      <c r="C40" s="76"/>
      <c r="D40" s="78">
        <f t="shared" si="0"/>
        <v>2</v>
      </c>
      <c r="E40" s="78" t="s">
        <v>3</v>
      </c>
      <c r="F40" s="189">
        <v>40815</v>
      </c>
      <c r="G40" s="83" t="s">
        <v>149</v>
      </c>
      <c r="H40" s="77"/>
      <c r="I40" s="84"/>
      <c r="J40" s="84" t="s">
        <v>0</v>
      </c>
      <c r="K40" s="84"/>
      <c r="L40" s="77"/>
      <c r="M40" s="85" t="s">
        <v>195</v>
      </c>
      <c r="N40" s="85" t="str">
        <f>VLOOKUP(G40,'Club Namen'!$B$3:$C$34,2,FALSE)</f>
        <v>Emirates Stadium</v>
      </c>
      <c r="O40" s="79"/>
      <c r="P40" s="10"/>
      <c r="Q40" s="150"/>
      <c r="R40" s="51"/>
      <c r="S40" s="20" t="str">
        <f>VLOOKUP(1,'Dummy Table'!$DD$20:$DE$23,2,FALSE)</f>
        <v>Chelsea</v>
      </c>
      <c r="T40" s="21">
        <f>SUM(U40:W40)</f>
        <v>0</v>
      </c>
      <c r="U40" s="21">
        <f>SUMIF('Dummy Table'!B$20:B$23,Gruppenphase!S40,'Dummy Table'!Q$20:Q$23)</f>
        <v>0</v>
      </c>
      <c r="V40" s="21">
        <f>SUMIF('Dummy Table'!B$20:B$23,Gruppenphase!S40,'Dummy Table'!R$20:R$23)</f>
        <v>0</v>
      </c>
      <c r="W40" s="21">
        <f>SUMIF('Dummy Table'!B$20:B$23,Gruppenphase!S40,'Dummy Table'!S$20:S$23)</f>
        <v>0</v>
      </c>
      <c r="X40" s="21" t="str">
        <f>CONCATENATE(SUMIF('Dummy Table'!B$20:B$23,Gruppenphase!S40,'Dummy Table'!T$20:T$23)," - ",SUMIF('Dummy Table'!B$20:B$23,Gruppenphase!S40,'Dummy Table'!U$20:U$23))</f>
        <v>0 - 0</v>
      </c>
      <c r="Y40" s="22">
        <f>U40*3+V40*1</f>
        <v>0</v>
      </c>
      <c r="Z40" s="12"/>
      <c r="AA40" s="12"/>
      <c r="AC40" s="7"/>
      <c r="DB40" s="8"/>
      <c r="DC40" s="19" t="s">
        <v>64</v>
      </c>
    </row>
    <row r="41" spans="2:107" s="6" customFormat="1" ht="15" customHeight="1" x14ac:dyDescent="0.2">
      <c r="B41" s="9"/>
      <c r="C41" s="76"/>
      <c r="D41" s="78">
        <f t="shared" si="0"/>
        <v>2</v>
      </c>
      <c r="E41" s="78" t="s">
        <v>3</v>
      </c>
      <c r="F41" s="189">
        <v>40815</v>
      </c>
      <c r="G41" s="83" t="s">
        <v>147</v>
      </c>
      <c r="H41" s="77"/>
      <c r="I41" s="84"/>
      <c r="J41" s="84" t="s">
        <v>0</v>
      </c>
      <c r="K41" s="84"/>
      <c r="L41" s="77"/>
      <c r="M41" s="85" t="s">
        <v>196</v>
      </c>
      <c r="N41" s="85" t="str">
        <f>VLOOKUP(G41,'Club Namen'!$B$3:$C$34,2,FALSE)</f>
        <v>Stade Velodrome</v>
      </c>
      <c r="O41" s="79"/>
      <c r="P41" s="10"/>
      <c r="Q41" s="151"/>
      <c r="R41" s="52"/>
      <c r="S41" s="24" t="str">
        <f>VLOOKUP(2,'Dummy Table'!$DD$20:$DE$23,2,FALSE)</f>
        <v>Valencia</v>
      </c>
      <c r="T41" s="11">
        <f>SUM(U41:W41)</f>
        <v>0</v>
      </c>
      <c r="U41" s="11">
        <f>SUMIF('Dummy Table'!B$20:B$23,Gruppenphase!S41,'Dummy Table'!Q$20:Q$23)</f>
        <v>0</v>
      </c>
      <c r="V41" s="11">
        <f>SUMIF('Dummy Table'!B$20:B$23,Gruppenphase!S41,'Dummy Table'!R$20:R$23)</f>
        <v>0</v>
      </c>
      <c r="W41" s="11">
        <f>SUMIF('Dummy Table'!B$20:B$23,Gruppenphase!S41,'Dummy Table'!S$20:S$23)</f>
        <v>0</v>
      </c>
      <c r="X41" s="11" t="str">
        <f>CONCATENATE(SUMIF('Dummy Table'!B$20:B$23,Gruppenphase!S41,'Dummy Table'!T$20:T$23)," - ",SUMIF('Dummy Table'!B$20:B$23,Gruppenphase!S41,'Dummy Table'!U$20:U$23))</f>
        <v>0 - 0</v>
      </c>
      <c r="Y41" s="25">
        <f>U41*3+V41*1</f>
        <v>0</v>
      </c>
      <c r="Z41" s="40"/>
      <c r="AA41" s="40"/>
      <c r="AC41" s="7"/>
      <c r="DB41" s="8"/>
      <c r="DC41" s="19" t="s">
        <v>65</v>
      </c>
    </row>
    <row r="42" spans="2:107" s="6" customFormat="1" ht="15" customHeight="1" x14ac:dyDescent="0.2">
      <c r="B42" s="9"/>
      <c r="C42" s="76"/>
      <c r="D42" s="78">
        <f t="shared" si="0"/>
        <v>2</v>
      </c>
      <c r="E42" s="78" t="s">
        <v>156</v>
      </c>
      <c r="F42" s="189">
        <v>40815</v>
      </c>
      <c r="G42" s="83" t="s">
        <v>180</v>
      </c>
      <c r="H42" s="77"/>
      <c r="I42" s="84"/>
      <c r="J42" s="84" t="s">
        <v>0</v>
      </c>
      <c r="K42" s="84"/>
      <c r="L42" s="77"/>
      <c r="M42" s="85" t="s">
        <v>199</v>
      </c>
      <c r="N42" s="85" t="str">
        <f>VLOOKUP(G42,'Club Namen'!$B$3:$C$34,2,FALSE)</f>
        <v>Donbass Arena</v>
      </c>
      <c r="O42" s="79"/>
      <c r="P42" s="10"/>
      <c r="Q42" s="152"/>
      <c r="R42" s="53"/>
      <c r="S42" s="24" t="str">
        <f>VLOOKUP(3,'Dummy Table'!$DD$20:$DE$23,2,FALSE)</f>
        <v>Bayer Leverkusen</v>
      </c>
      <c r="T42" s="11">
        <f>SUM(U42:W42)</f>
        <v>0</v>
      </c>
      <c r="U42" s="11">
        <f>SUMIF('Dummy Table'!B$20:B$23,Gruppenphase!S42,'Dummy Table'!Q$20:Q$23)</f>
        <v>0</v>
      </c>
      <c r="V42" s="11">
        <f>SUMIF('Dummy Table'!B$20:B$23,Gruppenphase!S42,'Dummy Table'!R$20:R$23)</f>
        <v>0</v>
      </c>
      <c r="W42" s="11">
        <f>SUMIF('Dummy Table'!B$20:B$23,Gruppenphase!S42,'Dummy Table'!S$20:S$23)</f>
        <v>0</v>
      </c>
      <c r="X42" s="11" t="str">
        <f>CONCATENATE(SUMIF('Dummy Table'!B$20:B$23,Gruppenphase!S42,'Dummy Table'!T$20:T$23)," - ",SUMIF('Dummy Table'!B$20:B$23,Gruppenphase!S42,'Dummy Table'!U$20:U$23))</f>
        <v>0 - 0</v>
      </c>
      <c r="Y42" s="25">
        <f>U42*3+V42*1</f>
        <v>0</v>
      </c>
      <c r="Z42" s="41"/>
      <c r="AA42" s="41"/>
      <c r="AC42" s="7"/>
      <c r="DB42" s="8"/>
      <c r="DC42" s="19" t="s">
        <v>66</v>
      </c>
    </row>
    <row r="43" spans="2:107" s="6" customFormat="1" ht="15" customHeight="1" x14ac:dyDescent="0.2">
      <c r="B43" s="9"/>
      <c r="C43" s="76"/>
      <c r="D43" s="78">
        <f t="shared" si="0"/>
        <v>2</v>
      </c>
      <c r="E43" s="78" t="s">
        <v>157</v>
      </c>
      <c r="F43" s="189">
        <v>40815</v>
      </c>
      <c r="G43" s="83" t="s">
        <v>200</v>
      </c>
      <c r="H43" s="77"/>
      <c r="I43" s="84"/>
      <c r="J43" s="84" t="s">
        <v>0</v>
      </c>
      <c r="K43" s="84"/>
      <c r="L43" s="77"/>
      <c r="M43" s="85" t="s">
        <v>146</v>
      </c>
      <c r="N43" s="85" t="str">
        <f>VLOOKUP(G43,'Club Namen'!$B$3:$C$34,2,FALSE)</f>
        <v>City Stadium</v>
      </c>
      <c r="O43" s="79"/>
      <c r="P43" s="10"/>
      <c r="Q43" s="152"/>
      <c r="R43" s="53"/>
      <c r="S43" s="26" t="str">
        <f>VLOOKUP(4,'Dummy Table'!$DD$20:$DE$23,2,FALSE)</f>
        <v>Genk</v>
      </c>
      <c r="T43" s="27">
        <f>SUM(U43:W43)</f>
        <v>0</v>
      </c>
      <c r="U43" s="27">
        <f>SUMIF('Dummy Table'!B$20:B$23,Gruppenphase!S43,'Dummy Table'!Q$20:Q$23)</f>
        <v>0</v>
      </c>
      <c r="V43" s="27">
        <f>SUMIF('Dummy Table'!B$20:B$23,Gruppenphase!S43,'Dummy Table'!R$20:R$23)</f>
        <v>0</v>
      </c>
      <c r="W43" s="27">
        <f>SUMIF('Dummy Table'!B$20:B$23,Gruppenphase!S43,'Dummy Table'!S$20:S$23)</f>
        <v>0</v>
      </c>
      <c r="X43" s="27" t="str">
        <f>CONCATENATE(SUMIF('Dummy Table'!B$20:B$23,Gruppenphase!S43,'Dummy Table'!T$20:T$23)," - ",SUMIF('Dummy Table'!B$20:B$23,Gruppenphase!S43,'Dummy Table'!U$20:U$23))</f>
        <v>0 - 0</v>
      </c>
      <c r="Y43" s="28">
        <f>U43*3+V43*1</f>
        <v>0</v>
      </c>
      <c r="Z43" s="41"/>
      <c r="AA43" s="41"/>
      <c r="AC43" s="7"/>
      <c r="DB43" s="8"/>
      <c r="DC43" s="19" t="s">
        <v>67</v>
      </c>
    </row>
    <row r="44" spans="2:107" s="6" customFormat="1" ht="15" customHeight="1" x14ac:dyDescent="0.2">
      <c r="B44" s="9"/>
      <c r="C44" s="76"/>
      <c r="D44" s="78">
        <f t="shared" si="0"/>
        <v>2</v>
      </c>
      <c r="E44" s="78" t="s">
        <v>157</v>
      </c>
      <c r="F44" s="189">
        <v>40815</v>
      </c>
      <c r="G44" s="83" t="s">
        <v>162</v>
      </c>
      <c r="H44" s="77"/>
      <c r="I44" s="84"/>
      <c r="J44" s="84" t="s">
        <v>0</v>
      </c>
      <c r="K44" s="84"/>
      <c r="L44" s="77"/>
      <c r="M44" s="85" t="s">
        <v>201</v>
      </c>
      <c r="N44" s="85" t="str">
        <f>VLOOKUP(G44,'Club Namen'!$B$3:$C$34,2,FALSE)</f>
        <v>Giuseppe Meazza</v>
      </c>
      <c r="O44" s="79"/>
      <c r="P44" s="10"/>
      <c r="Q44" s="152"/>
      <c r="R44" s="53"/>
      <c r="S44" s="31"/>
      <c r="T44" s="31"/>
      <c r="U44" s="31"/>
      <c r="V44" s="31"/>
      <c r="W44" s="31"/>
      <c r="X44" s="31"/>
      <c r="Y44" s="31"/>
      <c r="Z44" s="41"/>
      <c r="AA44" s="41"/>
      <c r="AC44" s="7"/>
      <c r="DB44" s="8"/>
      <c r="DC44" s="19" t="s">
        <v>68</v>
      </c>
    </row>
    <row r="45" spans="2:107" s="6" customFormat="1" ht="15" customHeight="1" x14ac:dyDescent="0.2">
      <c r="B45" s="9"/>
      <c r="C45" s="76"/>
      <c r="D45" s="78">
        <f t="shared" si="0"/>
        <v>3</v>
      </c>
      <c r="E45" s="78" t="s">
        <v>153</v>
      </c>
      <c r="F45" s="189">
        <v>40834</v>
      </c>
      <c r="G45" s="83" t="s">
        <v>189</v>
      </c>
      <c r="H45" s="77"/>
      <c r="I45" s="84"/>
      <c r="J45" s="84" t="s">
        <v>0</v>
      </c>
      <c r="K45" s="84"/>
      <c r="L45" s="77"/>
      <c r="M45" s="85" t="s">
        <v>191</v>
      </c>
      <c r="N45" s="85" t="str">
        <f>VLOOKUP(G45,'Club Namen'!$B$3:$C$34,2,FALSE)</f>
        <v>Luzhniki</v>
      </c>
      <c r="O45" s="79"/>
      <c r="P45" s="10"/>
      <c r="Q45" s="152"/>
      <c r="R45" s="53"/>
      <c r="S45" s="31"/>
      <c r="T45" s="31"/>
      <c r="U45" s="31"/>
      <c r="V45" s="31"/>
      <c r="W45" s="31"/>
      <c r="X45" s="31"/>
      <c r="Y45" s="31"/>
      <c r="Z45" s="41"/>
      <c r="AA45" s="41"/>
      <c r="AC45" s="7"/>
      <c r="DB45" s="8"/>
      <c r="DC45" s="19" t="s">
        <v>69</v>
      </c>
    </row>
    <row r="46" spans="2:107" s="6" customFormat="1" ht="15" customHeight="1" x14ac:dyDescent="0.2">
      <c r="B46" s="9"/>
      <c r="C46" s="76"/>
      <c r="D46" s="78">
        <f t="shared" si="0"/>
        <v>3</v>
      </c>
      <c r="E46" s="78" t="s">
        <v>4</v>
      </c>
      <c r="F46" s="189">
        <v>40835</v>
      </c>
      <c r="G46" s="83" t="s">
        <v>188</v>
      </c>
      <c r="H46" s="77"/>
      <c r="I46" s="84"/>
      <c r="J46" s="84" t="s">
        <v>0</v>
      </c>
      <c r="K46" s="84"/>
      <c r="L46" s="77"/>
      <c r="M46" s="85" t="s">
        <v>310</v>
      </c>
      <c r="N46" s="85" t="str">
        <f>VLOOKUP(G46,'Club Namen'!$B$3:$C$34,2,FALSE)</f>
        <v>San Paolo</v>
      </c>
      <c r="O46" s="79"/>
      <c r="P46" s="10"/>
      <c r="Q46" s="152"/>
      <c r="R46" s="53"/>
      <c r="S46" s="15" t="s">
        <v>236</v>
      </c>
      <c r="T46" s="16" t="s">
        <v>230</v>
      </c>
      <c r="U46" s="16" t="s">
        <v>156</v>
      </c>
      <c r="V46" s="16" t="s">
        <v>231</v>
      </c>
      <c r="W46" s="16" t="s">
        <v>232</v>
      </c>
      <c r="X46" s="16" t="s">
        <v>233</v>
      </c>
      <c r="Y46" s="17" t="s">
        <v>34</v>
      </c>
      <c r="Z46" s="41"/>
      <c r="AA46" s="41"/>
      <c r="AC46" s="7"/>
      <c r="DB46" s="8"/>
      <c r="DC46" s="19" t="s">
        <v>70</v>
      </c>
    </row>
    <row r="47" spans="2:107" s="6" customFormat="1" ht="15" customHeight="1" x14ac:dyDescent="0.2">
      <c r="B47" s="9"/>
      <c r="C47" s="76"/>
      <c r="D47" s="78">
        <f t="shared" si="0"/>
        <v>3</v>
      </c>
      <c r="E47" s="78" t="s">
        <v>4</v>
      </c>
      <c r="F47" s="189">
        <v>40835</v>
      </c>
      <c r="G47" s="83" t="s">
        <v>187</v>
      </c>
      <c r="H47" s="77"/>
      <c r="I47" s="84"/>
      <c r="J47" s="84" t="s">
        <v>0</v>
      </c>
      <c r="K47" s="84"/>
      <c r="L47" s="77"/>
      <c r="M47" s="85" t="s">
        <v>202</v>
      </c>
      <c r="N47" s="85" t="str">
        <f>VLOOKUP(G47,'Club Namen'!$B$3:$C$34,2,FALSE)</f>
        <v>City of Manchester</v>
      </c>
      <c r="O47" s="79"/>
      <c r="P47" s="10"/>
      <c r="Q47" s="152"/>
      <c r="R47" s="53"/>
      <c r="S47" s="20" t="str">
        <f>VLOOKUP(1,'Dummy Table'!$DD$24:$DE$27,2,FALSE)</f>
        <v>Arsenal</v>
      </c>
      <c r="T47" s="21">
        <f>SUM(U47:W47)</f>
        <v>0</v>
      </c>
      <c r="U47" s="21">
        <f>SUMIF('Dummy Table'!B$24:B$27,Gruppenphase!S47,'Dummy Table'!Q$24:Q$27)</f>
        <v>0</v>
      </c>
      <c r="V47" s="21">
        <f>SUMIF('Dummy Table'!B$24:B$27,Gruppenphase!S47,'Dummy Table'!R$24:R$27)</f>
        <v>0</v>
      </c>
      <c r="W47" s="21">
        <f>SUMIF('Dummy Table'!B$24:B$27,Gruppenphase!S47,'Dummy Table'!S$24:S$27)</f>
        <v>0</v>
      </c>
      <c r="X47" s="21" t="str">
        <f>CONCATENATE(SUMIF('Dummy Table'!B$24:B$27,Gruppenphase!S47,'Dummy Table'!T$24:T$27)," - ",SUMIF('Dummy Table'!B$24:B$27,Gruppenphase!S47,'Dummy Table'!U$24:U$27))</f>
        <v>0 - 0</v>
      </c>
      <c r="Y47" s="22">
        <f>U47*3+V47*1</f>
        <v>0</v>
      </c>
      <c r="Z47" s="41"/>
      <c r="AA47" s="41"/>
      <c r="AC47" s="7"/>
      <c r="DB47" s="8"/>
      <c r="DC47" s="19" t="s">
        <v>71</v>
      </c>
    </row>
    <row r="48" spans="2:107" s="6" customFormat="1" ht="15" customHeight="1" x14ac:dyDescent="0.2">
      <c r="B48" s="9"/>
      <c r="C48" s="76"/>
      <c r="D48" s="78">
        <f t="shared" si="0"/>
        <v>3</v>
      </c>
      <c r="E48" s="78" t="s">
        <v>153</v>
      </c>
      <c r="F48" s="189">
        <v>40835</v>
      </c>
      <c r="G48" s="83" t="s">
        <v>190</v>
      </c>
      <c r="H48" s="77"/>
      <c r="I48" s="84"/>
      <c r="J48" s="84" t="s">
        <v>0</v>
      </c>
      <c r="K48" s="84"/>
      <c r="L48" s="77"/>
      <c r="M48" s="85" t="s">
        <v>173</v>
      </c>
      <c r="N48" s="85" t="str">
        <f>VLOOKUP(G48,'Club Namen'!$B$3:$C$34,2,FALSE)</f>
        <v>Stade Lille-Metropole</v>
      </c>
      <c r="O48" s="79"/>
      <c r="P48" s="10"/>
      <c r="Q48" s="152"/>
      <c r="R48" s="53"/>
      <c r="S48" s="24" t="str">
        <f>VLOOKUP(2,'Dummy Table'!$DD$24:$DE$27,2,FALSE)</f>
        <v>Marseille</v>
      </c>
      <c r="T48" s="11">
        <f>SUM(U48:W48)</f>
        <v>0</v>
      </c>
      <c r="U48" s="11">
        <f>SUMIF('Dummy Table'!B$24:B$27,Gruppenphase!S48,'Dummy Table'!Q$24:Q$27)</f>
        <v>0</v>
      </c>
      <c r="V48" s="11">
        <f>SUMIF('Dummy Table'!B$24:B$27,Gruppenphase!S48,'Dummy Table'!R$24:R$27)</f>
        <v>0</v>
      </c>
      <c r="W48" s="11">
        <f>SUMIF('Dummy Table'!B$24:B$27,Gruppenphase!S48,'Dummy Table'!S$24:S$27)</f>
        <v>0</v>
      </c>
      <c r="X48" s="11" t="str">
        <f>CONCATENATE(SUMIF('Dummy Table'!B$24:B$27,Gruppenphase!S48,'Dummy Table'!T$24:T$27)," - ",SUMIF('Dummy Table'!B$24:B$27,Gruppenphase!S48,'Dummy Table'!U$24:U$27))</f>
        <v>0 - 0</v>
      </c>
      <c r="Y48" s="25">
        <f>U48*3+V48*1</f>
        <v>0</v>
      </c>
      <c r="Z48" s="41"/>
      <c r="AA48" s="41"/>
      <c r="AC48" s="7"/>
      <c r="DB48" s="8"/>
      <c r="DC48" s="19" t="s">
        <v>72</v>
      </c>
    </row>
    <row r="49" spans="2:107" s="6" customFormat="1" ht="15" customHeight="1" x14ac:dyDescent="0.2">
      <c r="B49" s="9"/>
      <c r="C49" s="76"/>
      <c r="D49" s="78">
        <f t="shared" si="0"/>
        <v>3</v>
      </c>
      <c r="E49" s="78" t="s">
        <v>154</v>
      </c>
      <c r="F49" s="189">
        <v>40835</v>
      </c>
      <c r="G49" s="83" t="s">
        <v>192</v>
      </c>
      <c r="H49" s="77"/>
      <c r="I49" s="84"/>
      <c r="J49" s="84" t="s">
        <v>0</v>
      </c>
      <c r="K49" s="84"/>
      <c r="L49" s="77"/>
      <c r="M49" s="85" t="s">
        <v>160</v>
      </c>
      <c r="N49" s="85" t="str">
        <f>VLOOKUP(G49,'Club Namen'!$B$3:$C$34,2,FALSE)</f>
        <v>Oţelul</v>
      </c>
      <c r="O49" s="79"/>
      <c r="P49" s="10"/>
      <c r="Q49" s="152"/>
      <c r="R49" s="53"/>
      <c r="S49" s="24" t="str">
        <f>VLOOKUP(3,'Dummy Table'!$DD$24:$DE$27,2,FALSE)</f>
        <v>Olympiacos</v>
      </c>
      <c r="T49" s="11">
        <f>SUM(U49:W49)</f>
        <v>0</v>
      </c>
      <c r="U49" s="11">
        <f>SUMIF('Dummy Table'!B$24:B$27,Gruppenphase!S49,'Dummy Table'!Q$24:Q$27)</f>
        <v>0</v>
      </c>
      <c r="V49" s="11">
        <f>SUMIF('Dummy Table'!B$24:B$27,Gruppenphase!S49,'Dummy Table'!R$24:R$27)</f>
        <v>0</v>
      </c>
      <c r="W49" s="11">
        <f>SUMIF('Dummy Table'!B$24:B$27,Gruppenphase!S49,'Dummy Table'!S$24:S$27)</f>
        <v>0</v>
      </c>
      <c r="X49" s="11" t="str">
        <f>CONCATENATE(SUMIF('Dummy Table'!B$24:B$27,Gruppenphase!S49,'Dummy Table'!T$24:T$27)," - ",SUMIF('Dummy Table'!B$24:B$27,Gruppenphase!S49,'Dummy Table'!U$24:U$27))</f>
        <v>0 - 0</v>
      </c>
      <c r="Y49" s="25">
        <f>U49*3+V49*1</f>
        <v>0</v>
      </c>
      <c r="Z49" s="41"/>
      <c r="AA49" s="41"/>
      <c r="AC49" s="7"/>
      <c r="DB49" s="8"/>
      <c r="DC49" s="19" t="s">
        <v>73</v>
      </c>
    </row>
    <row r="50" spans="2:107" s="6" customFormat="1" ht="15" customHeight="1" x14ac:dyDescent="0.2">
      <c r="B50" s="9"/>
      <c r="C50" s="76"/>
      <c r="D50" s="78">
        <f t="shared" si="0"/>
        <v>3</v>
      </c>
      <c r="E50" s="78" t="s">
        <v>154</v>
      </c>
      <c r="F50" s="189">
        <v>40835</v>
      </c>
      <c r="G50" s="83" t="s">
        <v>178</v>
      </c>
      <c r="H50" s="77"/>
      <c r="I50" s="84"/>
      <c r="J50" s="84" t="s">
        <v>0</v>
      </c>
      <c r="K50" s="84"/>
      <c r="L50" s="77"/>
      <c r="M50" s="85" t="s">
        <v>176</v>
      </c>
      <c r="N50" s="85" t="str">
        <f>VLOOKUP(G50,'Club Namen'!$B$3:$C$34,2,FALSE)</f>
        <v>St. Jakob Park</v>
      </c>
      <c r="O50" s="79"/>
      <c r="P50" s="10"/>
      <c r="Q50" s="152"/>
      <c r="R50" s="53"/>
      <c r="S50" s="26" t="str">
        <f>VLOOKUP(4,'Dummy Table'!$DD$24:$DE$27,2,FALSE)</f>
        <v>Borussia Dortmund</v>
      </c>
      <c r="T50" s="27">
        <f>SUM(U50:W50)</f>
        <v>0</v>
      </c>
      <c r="U50" s="27">
        <f>SUMIF('Dummy Table'!B$24:B$27,Gruppenphase!S50,'Dummy Table'!Q$24:Q$27)</f>
        <v>0</v>
      </c>
      <c r="V50" s="27">
        <f>SUMIF('Dummy Table'!B$24:B$27,Gruppenphase!S50,'Dummy Table'!R$24:R$27)</f>
        <v>0</v>
      </c>
      <c r="W50" s="27">
        <f>SUMIF('Dummy Table'!B$24:B$27,Gruppenphase!S50,'Dummy Table'!S$24:S$27)</f>
        <v>0</v>
      </c>
      <c r="X50" s="27" t="str">
        <f>CONCATENATE(SUMIF('Dummy Table'!B$24:B$27,Gruppenphase!S50,'Dummy Table'!T$24:T$27)," - ",SUMIF('Dummy Table'!B$24:B$27,Gruppenphase!S50,'Dummy Table'!U$24:U$27))</f>
        <v>0 - 0</v>
      </c>
      <c r="Y50" s="28">
        <f>U50*3+V50*1</f>
        <v>0</v>
      </c>
      <c r="Z50" s="41"/>
      <c r="AA50" s="41"/>
      <c r="AC50" s="7"/>
      <c r="DB50" s="8"/>
      <c r="DC50" s="19" t="s">
        <v>74</v>
      </c>
    </row>
    <row r="51" spans="2:107" s="6" customFormat="1" ht="15" customHeight="1" x14ac:dyDescent="0.2">
      <c r="B51" s="9"/>
      <c r="C51" s="76"/>
      <c r="D51" s="78">
        <f t="shared" si="0"/>
        <v>3</v>
      </c>
      <c r="E51" s="78" t="s">
        <v>2</v>
      </c>
      <c r="F51" s="189">
        <v>40835</v>
      </c>
      <c r="G51" s="83" t="s">
        <v>150</v>
      </c>
      <c r="H51" s="77"/>
      <c r="I51" s="84"/>
      <c r="J51" s="84" t="s">
        <v>0</v>
      </c>
      <c r="K51" s="84"/>
      <c r="L51" s="77"/>
      <c r="M51" s="85" t="s">
        <v>148</v>
      </c>
      <c r="N51" s="85" t="str">
        <f>VLOOKUP(G51,'Club Namen'!$B$3:$C$34,2,FALSE)</f>
        <v>Santiago Bernabeu</v>
      </c>
      <c r="O51" s="79"/>
      <c r="P51" s="10"/>
      <c r="Q51" s="152"/>
      <c r="R51" s="53"/>
      <c r="S51" s="31"/>
      <c r="T51" s="31"/>
      <c r="U51" s="31"/>
      <c r="V51" s="31"/>
      <c r="W51" s="31"/>
      <c r="X51" s="31"/>
      <c r="Y51" s="31"/>
      <c r="Z51" s="41"/>
      <c r="AA51" s="41"/>
      <c r="AC51" s="7"/>
      <c r="DB51" s="8"/>
      <c r="DC51" s="19" t="s">
        <v>75</v>
      </c>
    </row>
    <row r="52" spans="2:107" s="6" customFormat="1" ht="15" customHeight="1" x14ac:dyDescent="0.2">
      <c r="B52" s="9"/>
      <c r="C52" s="76"/>
      <c r="D52" s="78">
        <f t="shared" si="0"/>
        <v>3</v>
      </c>
      <c r="E52" s="78" t="s">
        <v>2</v>
      </c>
      <c r="F52" s="189">
        <v>40835</v>
      </c>
      <c r="G52" s="83" t="s">
        <v>203</v>
      </c>
      <c r="H52" s="77"/>
      <c r="I52" s="84"/>
      <c r="J52" s="84" t="s">
        <v>0</v>
      </c>
      <c r="K52" s="84"/>
      <c r="L52" s="77"/>
      <c r="M52" s="85" t="s">
        <v>179</v>
      </c>
      <c r="N52" s="85" t="str">
        <f>VLOOKUP(G52,'Club Namen'!$B$3:$C$34,2,FALSE)</f>
        <v>Maksimir</v>
      </c>
      <c r="O52" s="79"/>
      <c r="P52" s="10"/>
      <c r="Q52" s="152"/>
      <c r="R52" s="53"/>
      <c r="S52" s="31"/>
      <c r="T52" s="31"/>
      <c r="U52" s="31"/>
      <c r="V52" s="31"/>
      <c r="W52" s="31"/>
      <c r="X52" s="31"/>
      <c r="Y52" s="31"/>
      <c r="Z52" s="41"/>
      <c r="AA52" s="41"/>
      <c r="AC52" s="7"/>
      <c r="DB52" s="8"/>
      <c r="DC52" s="19" t="s">
        <v>76</v>
      </c>
    </row>
    <row r="53" spans="2:107" s="6" customFormat="1" ht="15" customHeight="1" x14ac:dyDescent="0.2">
      <c r="B53" s="9"/>
      <c r="C53" s="76"/>
      <c r="D53" s="78">
        <f t="shared" si="0"/>
        <v>3</v>
      </c>
      <c r="E53" s="78" t="s">
        <v>155</v>
      </c>
      <c r="F53" s="189">
        <v>40836</v>
      </c>
      <c r="G53" s="83" t="s">
        <v>193</v>
      </c>
      <c r="H53" s="77"/>
      <c r="I53" s="84"/>
      <c r="J53" s="84" t="s">
        <v>0</v>
      </c>
      <c r="K53" s="84"/>
      <c r="L53" s="77"/>
      <c r="M53" s="85" t="s">
        <v>177</v>
      </c>
      <c r="N53" s="85" t="str">
        <f>VLOOKUP(G53,'Club Namen'!$B$3:$C$34,2,FALSE)</f>
        <v>Bay Arena</v>
      </c>
      <c r="O53" s="79"/>
      <c r="P53" s="10"/>
      <c r="Q53" s="152"/>
      <c r="R53" s="53"/>
      <c r="S53" s="15" t="s">
        <v>235</v>
      </c>
      <c r="T53" s="16" t="s">
        <v>230</v>
      </c>
      <c r="U53" s="16" t="s">
        <v>156</v>
      </c>
      <c r="V53" s="16" t="s">
        <v>231</v>
      </c>
      <c r="W53" s="16" t="s">
        <v>232</v>
      </c>
      <c r="X53" s="16" t="s">
        <v>233</v>
      </c>
      <c r="Y53" s="17" t="s">
        <v>34</v>
      </c>
      <c r="Z53" s="41"/>
      <c r="AA53" s="41"/>
      <c r="AC53" s="7"/>
      <c r="DB53" s="8"/>
      <c r="DC53" s="19" t="s">
        <v>77</v>
      </c>
    </row>
    <row r="54" spans="2:107" s="6" customFormat="1" ht="15" customHeight="1" x14ac:dyDescent="0.2">
      <c r="B54" s="9"/>
      <c r="C54" s="76"/>
      <c r="D54" s="78">
        <f t="shared" si="0"/>
        <v>3</v>
      </c>
      <c r="E54" s="78" t="s">
        <v>155</v>
      </c>
      <c r="F54" s="189">
        <v>40836</v>
      </c>
      <c r="G54" s="83" t="s">
        <v>145</v>
      </c>
      <c r="H54" s="77"/>
      <c r="I54" s="84"/>
      <c r="J54" s="84" t="s">
        <v>0</v>
      </c>
      <c r="K54" s="84"/>
      <c r="L54" s="77"/>
      <c r="M54" s="85" t="s">
        <v>194</v>
      </c>
      <c r="N54" s="85" t="str">
        <f>VLOOKUP(G54,'Club Namen'!$B$3:$C$34,2,FALSE)</f>
        <v>Stamford Bridge</v>
      </c>
      <c r="O54" s="79"/>
      <c r="P54" s="10"/>
      <c r="Q54" s="152"/>
      <c r="R54" s="53"/>
      <c r="S54" s="20" t="str">
        <f>VLOOKUP(1,'Dummy Table'!$DD$28:$DE$31,2,FALSE)</f>
        <v>Porto</v>
      </c>
      <c r="T54" s="21">
        <f>SUM(U54:W54)</f>
        <v>0</v>
      </c>
      <c r="U54" s="21">
        <f>SUMIF('Dummy Table'!B$28:B$31,Gruppenphase!S54,'Dummy Table'!Q$28:Q$31)</f>
        <v>0</v>
      </c>
      <c r="V54" s="21">
        <f>SUMIF('Dummy Table'!B$28:B$31,Gruppenphase!S54,'Dummy Table'!R$28:R$31)</f>
        <v>0</v>
      </c>
      <c r="W54" s="21">
        <f>SUMIF('Dummy Table'!B$28:B$31,Gruppenphase!S54,'Dummy Table'!S$28:S$31)</f>
        <v>0</v>
      </c>
      <c r="X54" s="21" t="str">
        <f>CONCATENATE(SUMIF('Dummy Table'!B$28:B$31,Gruppenphase!S54,'Dummy Table'!T$28:T$31)," - ",SUMIF('Dummy Table'!B$28:B$31,Gruppenphase!S54,'Dummy Table'!U$28:U$31))</f>
        <v>0 - 0</v>
      </c>
      <c r="Y54" s="22">
        <f>U54*3+V54*1</f>
        <v>0</v>
      </c>
      <c r="Z54" s="41"/>
      <c r="AA54" s="41"/>
      <c r="AC54" s="7"/>
      <c r="DB54" s="8"/>
      <c r="DC54" s="19" t="s">
        <v>78</v>
      </c>
    </row>
    <row r="55" spans="2:107" s="6" customFormat="1" ht="15" customHeight="1" x14ac:dyDescent="0.2">
      <c r="B55" s="9"/>
      <c r="C55" s="76"/>
      <c r="D55" s="78">
        <f t="shared" si="0"/>
        <v>3</v>
      </c>
      <c r="E55" s="78" t="s">
        <v>3</v>
      </c>
      <c r="F55" s="189">
        <v>40836</v>
      </c>
      <c r="G55" s="83" t="s">
        <v>147</v>
      </c>
      <c r="H55" s="77"/>
      <c r="I55" s="84"/>
      <c r="J55" s="84" t="s">
        <v>0</v>
      </c>
      <c r="K55" s="84"/>
      <c r="L55" s="77"/>
      <c r="M55" s="85" t="s">
        <v>149</v>
      </c>
      <c r="N55" s="85" t="str">
        <f>VLOOKUP(G55,'Club Namen'!$B$3:$C$34,2,FALSE)</f>
        <v>Stade Velodrome</v>
      </c>
      <c r="O55" s="79"/>
      <c r="P55" s="10"/>
      <c r="Q55" s="152"/>
      <c r="R55" s="53"/>
      <c r="S55" s="24" t="str">
        <f>VLOOKUP(2,'Dummy Table'!$DD$28:$DE$31,2,FALSE)</f>
        <v>Shakhtar Donetsk</v>
      </c>
      <c r="T55" s="11">
        <f>SUM(U55:W55)</f>
        <v>0</v>
      </c>
      <c r="U55" s="11">
        <f>SUMIF('Dummy Table'!B$28:B$31,Gruppenphase!S55,'Dummy Table'!Q$28:Q$31)</f>
        <v>0</v>
      </c>
      <c r="V55" s="11">
        <f>SUMIF('Dummy Table'!B$28:B$31,Gruppenphase!S55,'Dummy Table'!R$28:R$31)</f>
        <v>0</v>
      </c>
      <c r="W55" s="11">
        <f>SUMIF('Dummy Table'!B$28:B$31,Gruppenphase!S55,'Dummy Table'!S$28:S$31)</f>
        <v>0</v>
      </c>
      <c r="X55" s="11" t="str">
        <f>CONCATENATE(SUMIF('Dummy Table'!B$28:B$31,Gruppenphase!S55,'Dummy Table'!T$28:T$31)," - ",SUMIF('Dummy Table'!B$28:B$31,Gruppenphase!S55,'Dummy Table'!U$28:U$31))</f>
        <v>0 - 0</v>
      </c>
      <c r="Y55" s="25">
        <f>U55*3+V55*1</f>
        <v>0</v>
      </c>
      <c r="Z55" s="41"/>
      <c r="AA55" s="41"/>
      <c r="AC55" s="7"/>
      <c r="DB55" s="8"/>
      <c r="DC55" s="19" t="s">
        <v>79</v>
      </c>
    </row>
    <row r="56" spans="2:107" s="6" customFormat="1" ht="15" customHeight="1" x14ac:dyDescent="0.2">
      <c r="B56" s="9"/>
      <c r="C56" s="76"/>
      <c r="D56" s="78">
        <f t="shared" si="0"/>
        <v>3</v>
      </c>
      <c r="E56" s="78" t="s">
        <v>3</v>
      </c>
      <c r="F56" s="189">
        <v>40836</v>
      </c>
      <c r="G56" s="83" t="s">
        <v>195</v>
      </c>
      <c r="H56" s="77"/>
      <c r="I56" s="84"/>
      <c r="J56" s="84" t="s">
        <v>0</v>
      </c>
      <c r="K56" s="84"/>
      <c r="L56" s="77"/>
      <c r="M56" s="85" t="s">
        <v>196</v>
      </c>
      <c r="N56" s="85" t="str">
        <f>VLOOKUP(G56,'Club Namen'!$B$3:$C$34,2,FALSE)</f>
        <v>Karaiskakis</v>
      </c>
      <c r="O56" s="79"/>
      <c r="P56" s="10"/>
      <c r="Q56" s="152"/>
      <c r="R56" s="53"/>
      <c r="S56" s="24" t="str">
        <f>VLOOKUP(3,'Dummy Table'!$DD$28:$DE$31,2,FALSE)</f>
        <v>Zenit St. Petersburg</v>
      </c>
      <c r="T56" s="11">
        <f>SUM(U56:W56)</f>
        <v>0</v>
      </c>
      <c r="U56" s="11">
        <f>SUMIF('Dummy Table'!B$28:B$31,Gruppenphase!S56,'Dummy Table'!Q$28:Q$31)</f>
        <v>0</v>
      </c>
      <c r="V56" s="11">
        <f>SUMIF('Dummy Table'!B$28:B$31,Gruppenphase!S56,'Dummy Table'!R$28:R$31)</f>
        <v>0</v>
      </c>
      <c r="W56" s="11">
        <f>SUMIF('Dummy Table'!B$28:B$31,Gruppenphase!S56,'Dummy Table'!S$28:S$31)</f>
        <v>0</v>
      </c>
      <c r="X56" s="11" t="str">
        <f>CONCATENATE(SUMIF('Dummy Table'!B$28:B$31,Gruppenphase!S56,'Dummy Table'!T$28:T$31)," - ",SUMIF('Dummy Table'!B$28:B$31,Gruppenphase!S56,'Dummy Table'!U$28:U$31))</f>
        <v>0 - 0</v>
      </c>
      <c r="Y56" s="25">
        <f>U56*3+V56*1</f>
        <v>0</v>
      </c>
      <c r="Z56" s="41"/>
      <c r="AA56" s="41"/>
      <c r="AC56" s="7"/>
      <c r="DB56" s="8"/>
      <c r="DC56" s="19" t="s">
        <v>80</v>
      </c>
    </row>
    <row r="57" spans="2:107" s="6" customFormat="1" ht="15" customHeight="1" x14ac:dyDescent="0.2">
      <c r="B57" s="9"/>
      <c r="C57" s="76"/>
      <c r="D57" s="78">
        <f t="shared" si="0"/>
        <v>3</v>
      </c>
      <c r="E57" s="78" t="s">
        <v>156</v>
      </c>
      <c r="F57" s="189">
        <v>40836</v>
      </c>
      <c r="G57" s="83" t="s">
        <v>180</v>
      </c>
      <c r="H57" s="77"/>
      <c r="I57" s="84"/>
      <c r="J57" s="84" t="s">
        <v>0</v>
      </c>
      <c r="K57" s="84"/>
      <c r="L57" s="77"/>
      <c r="M57" s="85" t="s">
        <v>198</v>
      </c>
      <c r="N57" s="85" t="str">
        <f>VLOOKUP(G57,'Club Namen'!$B$3:$C$34,2,FALSE)</f>
        <v>Donbass Arena</v>
      </c>
      <c r="O57" s="79"/>
      <c r="P57" s="10"/>
      <c r="Q57" s="152"/>
      <c r="R57" s="53"/>
      <c r="S57" s="26" t="str">
        <f>VLOOKUP(4,'Dummy Table'!$DD$28:$DE$31,2,FALSE)</f>
        <v>APOEL</v>
      </c>
      <c r="T57" s="27">
        <f>SUM(U57:W57)</f>
        <v>0</v>
      </c>
      <c r="U57" s="27">
        <f>SUMIF('Dummy Table'!B$28:B$31,Gruppenphase!S57,'Dummy Table'!Q$28:Q$31)</f>
        <v>0</v>
      </c>
      <c r="V57" s="27">
        <f>SUMIF('Dummy Table'!B$28:B$31,Gruppenphase!S57,'Dummy Table'!R$28:R$31)</f>
        <v>0</v>
      </c>
      <c r="W57" s="27">
        <f>SUMIF('Dummy Table'!B$28:B$31,Gruppenphase!S57,'Dummy Table'!S$28:S$31)</f>
        <v>0</v>
      </c>
      <c r="X57" s="27" t="str">
        <f>CONCATENATE(SUMIF('Dummy Table'!B$28:B$31,Gruppenphase!S57,'Dummy Table'!T$28:T$31)," - ",SUMIF('Dummy Table'!B$28:B$31,Gruppenphase!S57,'Dummy Table'!U$28:U$31))</f>
        <v>0 - 0</v>
      </c>
      <c r="Y57" s="28">
        <f>U57*3+V57*1</f>
        <v>0</v>
      </c>
      <c r="Z57" s="41"/>
      <c r="AA57" s="41"/>
      <c r="AC57" s="7"/>
      <c r="DB57" s="8"/>
      <c r="DC57" s="19" t="s">
        <v>81</v>
      </c>
    </row>
    <row r="58" spans="2:107" s="6" customFormat="1" ht="15" customHeight="1" x14ac:dyDescent="0.2">
      <c r="B58" s="9"/>
      <c r="C58" s="76"/>
      <c r="D58" s="78">
        <f t="shared" si="0"/>
        <v>3</v>
      </c>
      <c r="E58" s="78" t="s">
        <v>156</v>
      </c>
      <c r="F58" s="189">
        <v>40836</v>
      </c>
      <c r="G58" s="83" t="s">
        <v>197</v>
      </c>
      <c r="H58" s="77"/>
      <c r="I58" s="84"/>
      <c r="J58" s="84" t="s">
        <v>0</v>
      </c>
      <c r="K58" s="84"/>
      <c r="L58" s="77"/>
      <c r="M58" s="85" t="s">
        <v>199</v>
      </c>
      <c r="N58" s="85" t="str">
        <f>VLOOKUP(G58,'Club Namen'!$B$3:$C$34,2,FALSE)</f>
        <v>Estádio do Dragão</v>
      </c>
      <c r="O58" s="79"/>
      <c r="P58" s="10"/>
      <c r="Q58" s="152"/>
      <c r="R58" s="53"/>
      <c r="S58" s="31"/>
      <c r="T58" s="31"/>
      <c r="U58" s="31"/>
      <c r="V58" s="31"/>
      <c r="W58" s="31"/>
      <c r="X58" s="31"/>
      <c r="Y58" s="31"/>
      <c r="Z58" s="41"/>
      <c r="AA58" s="41"/>
      <c r="AC58" s="7"/>
      <c r="DB58" s="8"/>
      <c r="DC58" s="19" t="s">
        <v>82</v>
      </c>
    </row>
    <row r="59" spans="2:107" s="6" customFormat="1" ht="15" customHeight="1" x14ac:dyDescent="0.2">
      <c r="B59" s="9"/>
      <c r="C59" s="76"/>
      <c r="D59" s="78">
        <f t="shared" si="0"/>
        <v>3</v>
      </c>
      <c r="E59" s="78" t="s">
        <v>157</v>
      </c>
      <c r="F59" s="189">
        <v>40836</v>
      </c>
      <c r="G59" s="83" t="s">
        <v>162</v>
      </c>
      <c r="H59" s="77"/>
      <c r="I59" s="84"/>
      <c r="J59" s="84" t="s">
        <v>0</v>
      </c>
      <c r="K59" s="84"/>
      <c r="L59" s="77"/>
      <c r="M59" s="85" t="s">
        <v>200</v>
      </c>
      <c r="N59" s="85" t="str">
        <f>VLOOKUP(G59,'Club Namen'!$B$3:$C$34,2,FALSE)</f>
        <v>Giuseppe Meazza</v>
      </c>
      <c r="O59" s="79"/>
      <c r="P59" s="10"/>
      <c r="Q59" s="152"/>
      <c r="R59" s="53"/>
      <c r="S59" s="31"/>
      <c r="T59" s="31"/>
      <c r="U59" s="31"/>
      <c r="V59" s="31"/>
      <c r="W59" s="31"/>
      <c r="X59" s="31"/>
      <c r="Y59" s="31"/>
      <c r="Z59" s="41"/>
      <c r="AA59" s="41"/>
      <c r="AC59" s="7"/>
      <c r="DB59" s="8"/>
      <c r="DC59" s="19" t="s">
        <v>83</v>
      </c>
    </row>
    <row r="60" spans="2:107" s="6" customFormat="1" ht="15" customHeight="1" x14ac:dyDescent="0.2">
      <c r="B60" s="9"/>
      <c r="C60" s="76"/>
      <c r="D60" s="78">
        <f t="shared" si="0"/>
        <v>3</v>
      </c>
      <c r="E60" s="78" t="s">
        <v>157</v>
      </c>
      <c r="F60" s="189">
        <v>40836</v>
      </c>
      <c r="G60" s="83" t="s">
        <v>146</v>
      </c>
      <c r="H60" s="77"/>
      <c r="I60" s="84"/>
      <c r="J60" s="84" t="s">
        <v>0</v>
      </c>
      <c r="K60" s="84"/>
      <c r="L60" s="77"/>
      <c r="M60" s="85" t="s">
        <v>201</v>
      </c>
      <c r="N60" s="85" t="str">
        <f>VLOOKUP(G60,'Club Namen'!$B$3:$C$34,2,FALSE)</f>
        <v>Nou Camp</v>
      </c>
      <c r="O60" s="79"/>
      <c r="P60" s="10"/>
      <c r="Q60" s="152"/>
      <c r="R60" s="53"/>
      <c r="S60" s="15" t="s">
        <v>234</v>
      </c>
      <c r="T60" s="16" t="s">
        <v>230</v>
      </c>
      <c r="U60" s="16" t="s">
        <v>156</v>
      </c>
      <c r="V60" s="16" t="s">
        <v>231</v>
      </c>
      <c r="W60" s="16" t="s">
        <v>232</v>
      </c>
      <c r="X60" s="16" t="s">
        <v>233</v>
      </c>
      <c r="Y60" s="17" t="s">
        <v>34</v>
      </c>
      <c r="Z60" s="41"/>
      <c r="AA60" s="41"/>
      <c r="AC60" s="7"/>
      <c r="DB60" s="8"/>
      <c r="DC60" s="19" t="s">
        <v>84</v>
      </c>
    </row>
    <row r="61" spans="2:107" s="6" customFormat="1" ht="15" customHeight="1" x14ac:dyDescent="0.2">
      <c r="B61" s="9"/>
      <c r="C61" s="76"/>
      <c r="D61" s="78">
        <f t="shared" si="0"/>
        <v>4</v>
      </c>
      <c r="E61" s="78" t="s">
        <v>156</v>
      </c>
      <c r="F61" s="189">
        <v>40849</v>
      </c>
      <c r="G61" s="83" t="s">
        <v>198</v>
      </c>
      <c r="H61" s="77"/>
      <c r="I61" s="84"/>
      <c r="J61" s="84" t="s">
        <v>0</v>
      </c>
      <c r="K61" s="84"/>
      <c r="L61" s="77"/>
      <c r="M61" s="85" t="s">
        <v>180</v>
      </c>
      <c r="N61" s="85" t="str">
        <f>VLOOKUP(G61,'Club Namen'!$B$3:$C$34,2,FALSE)</f>
        <v>Petrovsky Stadium</v>
      </c>
      <c r="O61" s="79"/>
      <c r="P61" s="10"/>
      <c r="Q61" s="152"/>
      <c r="R61" s="53"/>
      <c r="S61" s="20" t="str">
        <f>VLOOKUP(1,'Dummy Table'!$DD$32:$DE$35,2,FALSE)</f>
        <v>Barcelona</v>
      </c>
      <c r="T61" s="21">
        <f>SUM(U61:W61)</f>
        <v>0</v>
      </c>
      <c r="U61" s="21">
        <f>SUMIF('Dummy Table'!B$32:B$35,Gruppenphase!S61,'Dummy Table'!Q$32:Q$35)</f>
        <v>0</v>
      </c>
      <c r="V61" s="21">
        <f>SUMIF('Dummy Table'!B$32:B$35,Gruppenphase!S61,'Dummy Table'!R$32:R$35)</f>
        <v>0</v>
      </c>
      <c r="W61" s="21">
        <f>SUMIF('Dummy Table'!B$32:B$35,Gruppenphase!S61,'Dummy Table'!S$32:S$35)</f>
        <v>0</v>
      </c>
      <c r="X61" s="21" t="str">
        <f>CONCATENATE(SUMIF('Dummy Table'!B$32:B$35,Gruppenphase!S61,'Dummy Table'!T$32:T$35)," - ",SUMIF('Dummy Table'!B$32:B$35,Gruppenphase!S61,'Dummy Table'!U$32:U$35))</f>
        <v>0 - 0</v>
      </c>
      <c r="Y61" s="22">
        <f>U61*3+V61*1</f>
        <v>0</v>
      </c>
      <c r="Z61" s="41"/>
      <c r="AA61" s="41"/>
      <c r="AC61" s="7"/>
      <c r="DB61" s="8"/>
      <c r="DC61" s="19" t="s">
        <v>85</v>
      </c>
    </row>
    <row r="62" spans="2:107" s="6" customFormat="1" ht="15" customHeight="1" x14ac:dyDescent="0.2">
      <c r="B62" s="9"/>
      <c r="C62" s="76"/>
      <c r="D62" s="78">
        <f t="shared" si="0"/>
        <v>4</v>
      </c>
      <c r="E62" s="78" t="s">
        <v>155</v>
      </c>
      <c r="F62" s="189">
        <v>40849</v>
      </c>
      <c r="G62" s="83" t="s">
        <v>177</v>
      </c>
      <c r="H62" s="77"/>
      <c r="I62" s="84"/>
      <c r="J62" s="84" t="s">
        <v>0</v>
      </c>
      <c r="K62" s="84"/>
      <c r="L62" s="77"/>
      <c r="M62" s="85" t="s">
        <v>193</v>
      </c>
      <c r="N62" s="85" t="str">
        <f>VLOOKUP(G62,'Club Namen'!$B$3:$C$34,2,FALSE)</f>
        <v>Mestalla</v>
      </c>
      <c r="O62" s="79"/>
      <c r="P62" s="10"/>
      <c r="Q62" s="152"/>
      <c r="R62" s="53"/>
      <c r="S62" s="24" t="str">
        <f>VLOOKUP(2,'Dummy Table'!$DD$32:$DE$35,2,FALSE)</f>
        <v>AC Milan</v>
      </c>
      <c r="T62" s="11">
        <f>SUM(U62:W62)</f>
        <v>0</v>
      </c>
      <c r="U62" s="11">
        <f>SUMIF('Dummy Table'!B$32:B$35,Gruppenphase!S62,'Dummy Table'!Q$32:Q$35)</f>
        <v>0</v>
      </c>
      <c r="V62" s="11">
        <f>SUMIF('Dummy Table'!B$32:B$35,Gruppenphase!S62,'Dummy Table'!R$32:R$35)</f>
        <v>0</v>
      </c>
      <c r="W62" s="11">
        <f>SUMIF('Dummy Table'!B$32:B$35,Gruppenphase!S62,'Dummy Table'!S$32:S$35)</f>
        <v>0</v>
      </c>
      <c r="X62" s="11" t="str">
        <f>CONCATENATE(SUMIF('Dummy Table'!B$32:B$35,Gruppenphase!S62,'Dummy Table'!T$32:T$35)," - ",SUMIF('Dummy Table'!B$32:B$35,Gruppenphase!S62,'Dummy Table'!U$32:U$35))</f>
        <v>0 - 0</v>
      </c>
      <c r="Y62" s="25">
        <f>U62*3+V62*1</f>
        <v>0</v>
      </c>
      <c r="Z62" s="41"/>
      <c r="AA62" s="41"/>
      <c r="AC62" s="7"/>
      <c r="DB62" s="8"/>
      <c r="DC62" s="19" t="s">
        <v>86</v>
      </c>
    </row>
    <row r="63" spans="2:107" s="6" customFormat="1" ht="15" customHeight="1" x14ac:dyDescent="0.2">
      <c r="B63" s="9"/>
      <c r="C63" s="76"/>
      <c r="D63" s="78">
        <f t="shared" si="0"/>
        <v>4</v>
      </c>
      <c r="E63" s="78" t="s">
        <v>155</v>
      </c>
      <c r="F63" s="189">
        <v>40849</v>
      </c>
      <c r="G63" s="83" t="s">
        <v>194</v>
      </c>
      <c r="H63" s="77"/>
      <c r="I63" s="84"/>
      <c r="J63" s="84" t="s">
        <v>0</v>
      </c>
      <c r="K63" s="84"/>
      <c r="L63" s="77"/>
      <c r="M63" s="85" t="s">
        <v>145</v>
      </c>
      <c r="N63" s="85" t="str">
        <f>VLOOKUP(G63,'Club Namen'!$B$3:$C$34,2,FALSE)</f>
        <v>Cristal Arena</v>
      </c>
      <c r="O63" s="79"/>
      <c r="P63" s="10"/>
      <c r="Q63" s="152"/>
      <c r="R63" s="53"/>
      <c r="S63" s="24" t="str">
        <f>VLOOKUP(3,'Dummy Table'!$DD$32:$DE$35,2,FALSE)</f>
        <v>Bate Borisov</v>
      </c>
      <c r="T63" s="11">
        <f>SUM(U63:W63)</f>
        <v>0</v>
      </c>
      <c r="U63" s="11">
        <f>SUMIF('Dummy Table'!B$32:B$35,Gruppenphase!S63,'Dummy Table'!Q$32:Q$35)</f>
        <v>0</v>
      </c>
      <c r="V63" s="11">
        <f>SUMIF('Dummy Table'!B$32:B$35,Gruppenphase!S63,'Dummy Table'!R$32:R$35)</f>
        <v>0</v>
      </c>
      <c r="W63" s="11">
        <f>SUMIF('Dummy Table'!B$32:B$35,Gruppenphase!S63,'Dummy Table'!S$32:S$35)</f>
        <v>0</v>
      </c>
      <c r="X63" s="11" t="str">
        <f>CONCATENATE(SUMIF('Dummy Table'!B$32:B$35,Gruppenphase!S63,'Dummy Table'!T$32:T$35)," - ",SUMIF('Dummy Table'!B$32:B$35,Gruppenphase!S63,'Dummy Table'!U$32:U$35))</f>
        <v>0 - 0</v>
      </c>
      <c r="Y63" s="25">
        <f>U63*3+V63*1</f>
        <v>0</v>
      </c>
      <c r="Z63" s="41"/>
      <c r="AA63" s="41"/>
      <c r="AC63" s="7"/>
      <c r="DB63" s="8"/>
      <c r="DC63" s="19" t="s">
        <v>87</v>
      </c>
    </row>
    <row r="64" spans="2:107" s="6" customFormat="1" ht="15" customHeight="1" x14ac:dyDescent="0.2">
      <c r="B64" s="9"/>
      <c r="C64" s="76"/>
      <c r="D64" s="78">
        <f t="shared" si="0"/>
        <v>4</v>
      </c>
      <c r="E64" s="78" t="s">
        <v>3</v>
      </c>
      <c r="F64" s="189">
        <v>40849</v>
      </c>
      <c r="G64" s="83" t="s">
        <v>149</v>
      </c>
      <c r="H64" s="77"/>
      <c r="I64" s="84"/>
      <c r="J64" s="84" t="s">
        <v>0</v>
      </c>
      <c r="K64" s="84"/>
      <c r="L64" s="77"/>
      <c r="M64" s="85" t="s">
        <v>147</v>
      </c>
      <c r="N64" s="85" t="str">
        <f>VLOOKUP(G64,'Club Namen'!$B$3:$C$34,2,FALSE)</f>
        <v>Emirates Stadium</v>
      </c>
      <c r="O64" s="79"/>
      <c r="P64" s="10"/>
      <c r="Q64" s="151"/>
      <c r="R64" s="52"/>
      <c r="S64" s="26" t="str">
        <f>VLOOKUP(4,'Dummy Table'!$DD$32:$DE$35,2,FALSE)</f>
        <v>Viktoria Plzeň</v>
      </c>
      <c r="T64" s="27">
        <f>SUM(U64:W64)</f>
        <v>0</v>
      </c>
      <c r="U64" s="27">
        <f>SUMIF('Dummy Table'!B$32:B$35,Gruppenphase!S64,'Dummy Table'!Q$32:Q$35)</f>
        <v>0</v>
      </c>
      <c r="V64" s="27">
        <f>SUMIF('Dummy Table'!B$32:B$35,Gruppenphase!S64,'Dummy Table'!R$32:R$35)</f>
        <v>0</v>
      </c>
      <c r="W64" s="27">
        <f>SUMIF('Dummy Table'!B$32:B$35,Gruppenphase!S64,'Dummy Table'!S$32:S$35)</f>
        <v>0</v>
      </c>
      <c r="X64" s="27" t="str">
        <f>CONCATENATE(SUMIF('Dummy Table'!B$32:B$35,Gruppenphase!S64,'Dummy Table'!T$32:T$35)," - ",SUMIF('Dummy Table'!B$32:B$35,Gruppenphase!S64,'Dummy Table'!U$32:U$35))</f>
        <v>0 - 0</v>
      </c>
      <c r="Y64" s="28">
        <f>U64*3+V64*1</f>
        <v>0</v>
      </c>
      <c r="Z64" s="40"/>
      <c r="AA64" s="40"/>
      <c r="AC64" s="7"/>
      <c r="DB64" s="8"/>
      <c r="DC64" s="19" t="s">
        <v>88</v>
      </c>
    </row>
    <row r="65" spans="2:107" s="6" customFormat="1" ht="15" customHeight="1" x14ac:dyDescent="0.2">
      <c r="B65" s="9"/>
      <c r="C65" s="76"/>
      <c r="D65" s="78">
        <f t="shared" si="0"/>
        <v>4</v>
      </c>
      <c r="E65" s="78" t="s">
        <v>3</v>
      </c>
      <c r="F65" s="189">
        <v>40849</v>
      </c>
      <c r="G65" s="83" t="s">
        <v>196</v>
      </c>
      <c r="H65" s="77"/>
      <c r="I65" s="84"/>
      <c r="J65" s="84" t="s">
        <v>0</v>
      </c>
      <c r="K65" s="84"/>
      <c r="L65" s="77"/>
      <c r="M65" s="85" t="s">
        <v>195</v>
      </c>
      <c r="N65" s="85" t="str">
        <f>VLOOKUP(G65,'Club Namen'!$B$3:$C$34,2,FALSE)</f>
        <v>Signal Iduna Park</v>
      </c>
      <c r="O65" s="79"/>
      <c r="P65" s="10"/>
      <c r="Q65" s="152"/>
      <c r="R65" s="54"/>
      <c r="S65" s="32"/>
      <c r="T65" s="32"/>
      <c r="U65" s="32"/>
      <c r="V65" s="32"/>
      <c r="W65" s="32"/>
      <c r="X65" s="32"/>
      <c r="Y65" s="32"/>
      <c r="Z65" s="33"/>
      <c r="AA65" s="41"/>
      <c r="AC65" s="7"/>
      <c r="DB65" s="8"/>
      <c r="DC65" s="19" t="s">
        <v>89</v>
      </c>
    </row>
    <row r="66" spans="2:107" s="6" customFormat="1" ht="15" customHeight="1" x14ac:dyDescent="0.2">
      <c r="B66" s="9"/>
      <c r="C66" s="76"/>
      <c r="D66" s="78">
        <f t="shared" si="0"/>
        <v>4</v>
      </c>
      <c r="E66" s="78" t="s">
        <v>156</v>
      </c>
      <c r="F66" s="189">
        <v>40849</v>
      </c>
      <c r="G66" s="83" t="s">
        <v>199</v>
      </c>
      <c r="H66" s="77"/>
      <c r="I66" s="84"/>
      <c r="J66" s="84" t="s">
        <v>0</v>
      </c>
      <c r="K66" s="84"/>
      <c r="L66" s="77"/>
      <c r="M66" s="85" t="s">
        <v>197</v>
      </c>
      <c r="N66" s="85" t="str">
        <f>VLOOKUP(G66,'Club Namen'!$B$3:$C$34,2,FALSE)</f>
        <v>GSP Stadium</v>
      </c>
      <c r="O66" s="79"/>
      <c r="P66" s="10"/>
      <c r="Q66" s="152"/>
      <c r="R66" s="55"/>
      <c r="S66" s="31"/>
      <c r="T66" s="31"/>
      <c r="U66" s="31"/>
      <c r="V66" s="31"/>
      <c r="W66" s="31"/>
      <c r="X66" s="31"/>
      <c r="Y66" s="31"/>
      <c r="Z66" s="31"/>
      <c r="AA66" s="41"/>
      <c r="AC66" s="7"/>
      <c r="DB66" s="8"/>
      <c r="DC66" s="19" t="s">
        <v>90</v>
      </c>
    </row>
    <row r="67" spans="2:107" ht="15" customHeight="1" x14ac:dyDescent="0.2">
      <c r="B67" s="42"/>
      <c r="C67" s="76"/>
      <c r="D67" s="78">
        <f t="shared" si="0"/>
        <v>4</v>
      </c>
      <c r="E67" s="78" t="s">
        <v>157</v>
      </c>
      <c r="F67" s="189">
        <v>40849</v>
      </c>
      <c r="G67" s="83" t="s">
        <v>200</v>
      </c>
      <c r="H67" s="77"/>
      <c r="I67" s="84"/>
      <c r="J67" s="84" t="s">
        <v>0</v>
      </c>
      <c r="K67" s="84"/>
      <c r="L67" s="77"/>
      <c r="M67" s="85" t="s">
        <v>162</v>
      </c>
      <c r="N67" s="85" t="str">
        <f>VLOOKUP(G67,'Club Namen'!$B$3:$C$34,2,FALSE)</f>
        <v>City Stadium</v>
      </c>
      <c r="O67" s="86"/>
      <c r="P67" s="43"/>
      <c r="Q67" s="153"/>
      <c r="R67" s="44" t="s">
        <v>300</v>
      </c>
      <c r="T67" s="43"/>
      <c r="U67" s="43"/>
      <c r="V67" s="43"/>
      <c r="W67" s="43"/>
      <c r="X67" s="43"/>
      <c r="Y67" s="43"/>
      <c r="Z67" s="43"/>
      <c r="AA67" s="35"/>
    </row>
    <row r="68" spans="2:107" ht="15" customHeight="1" x14ac:dyDescent="0.2">
      <c r="B68" s="42"/>
      <c r="C68" s="76"/>
      <c r="D68" s="78">
        <f t="shared" si="0"/>
        <v>4</v>
      </c>
      <c r="E68" s="78" t="s">
        <v>157</v>
      </c>
      <c r="F68" s="189">
        <v>40849</v>
      </c>
      <c r="G68" s="83" t="s">
        <v>201</v>
      </c>
      <c r="H68" s="77"/>
      <c r="I68" s="84"/>
      <c r="J68" s="84" t="s">
        <v>0</v>
      </c>
      <c r="K68" s="84"/>
      <c r="L68" s="77"/>
      <c r="M68" s="85" t="s">
        <v>146</v>
      </c>
      <c r="N68" s="85" t="str">
        <f>VLOOKUP(G68,'Club Namen'!$B$3:$C$34,2,FALSE)</f>
        <v>Štruncovy Sady Stadion</v>
      </c>
      <c r="O68" s="86"/>
      <c r="P68" s="43"/>
      <c r="Q68" s="153"/>
      <c r="S68" s="190" t="s">
        <v>301</v>
      </c>
      <c r="T68" s="43"/>
      <c r="U68" s="43"/>
      <c r="V68" s="43"/>
      <c r="W68" s="43"/>
      <c r="X68" s="43"/>
      <c r="Y68" s="43"/>
      <c r="Z68" s="43"/>
      <c r="AA68" s="35"/>
    </row>
    <row r="69" spans="2:107" ht="15" customHeight="1" x14ac:dyDescent="0.2">
      <c r="B69" s="42"/>
      <c r="C69" s="76"/>
      <c r="D69" s="78">
        <f t="shared" si="0"/>
        <v>4</v>
      </c>
      <c r="E69" s="78" t="s">
        <v>4</v>
      </c>
      <c r="F69" s="189">
        <v>40850</v>
      </c>
      <c r="G69" s="83" t="s">
        <v>310</v>
      </c>
      <c r="H69" s="77"/>
      <c r="I69" s="84"/>
      <c r="J69" s="84" t="s">
        <v>0</v>
      </c>
      <c r="K69" s="84"/>
      <c r="L69" s="77"/>
      <c r="M69" s="85" t="s">
        <v>188</v>
      </c>
      <c r="N69" s="85" t="str">
        <f>VLOOKUP(G69,'Club Namen'!$B$3:$C$34,2,FALSE)</f>
        <v>Allianz Arena</v>
      </c>
      <c r="O69" s="86"/>
      <c r="P69" s="43"/>
      <c r="Q69" s="153"/>
      <c r="R69" s="45" t="s">
        <v>302</v>
      </c>
      <c r="T69" s="43"/>
      <c r="U69" s="43"/>
      <c r="V69" s="43"/>
      <c r="W69" s="43"/>
      <c r="X69" s="43"/>
      <c r="Y69" s="43"/>
      <c r="Z69" s="43"/>
      <c r="AA69" s="35"/>
    </row>
    <row r="70" spans="2:107" ht="15" customHeight="1" x14ac:dyDescent="0.2">
      <c r="B70" s="42"/>
      <c r="C70" s="76"/>
      <c r="D70" s="78">
        <f t="shared" si="0"/>
        <v>4</v>
      </c>
      <c r="E70" s="78" t="s">
        <v>4</v>
      </c>
      <c r="F70" s="189">
        <v>40850</v>
      </c>
      <c r="G70" s="83" t="s">
        <v>202</v>
      </c>
      <c r="H70" s="77"/>
      <c r="I70" s="84"/>
      <c r="J70" s="84" t="s">
        <v>0</v>
      </c>
      <c r="K70" s="84"/>
      <c r="L70" s="77"/>
      <c r="M70" s="85" t="s">
        <v>187</v>
      </c>
      <c r="N70" s="85" t="str">
        <f>VLOOKUP(G70,'Club Namen'!$B$3:$C$34,2,FALSE)</f>
        <v>El Madrigal</v>
      </c>
      <c r="O70" s="86"/>
      <c r="P70" s="43"/>
      <c r="Q70" s="153"/>
      <c r="S70" s="191" t="s">
        <v>303</v>
      </c>
      <c r="T70" s="43"/>
      <c r="U70" s="43"/>
      <c r="V70" s="43"/>
      <c r="W70" s="43"/>
      <c r="X70" s="43"/>
      <c r="Y70" s="43"/>
      <c r="Z70" s="43"/>
      <c r="AA70" s="35"/>
    </row>
    <row r="71" spans="2:107" ht="15" customHeight="1" x14ac:dyDescent="0.2">
      <c r="B71" s="42"/>
      <c r="C71" s="76"/>
      <c r="D71" s="78">
        <f t="shared" si="0"/>
        <v>4</v>
      </c>
      <c r="E71" s="78" t="s">
        <v>153</v>
      </c>
      <c r="F71" s="189">
        <v>40850</v>
      </c>
      <c r="G71" s="83" t="s">
        <v>191</v>
      </c>
      <c r="H71" s="77"/>
      <c r="I71" s="84"/>
      <c r="J71" s="84" t="s">
        <v>0</v>
      </c>
      <c r="K71" s="84"/>
      <c r="L71" s="77"/>
      <c r="M71" s="85" t="s">
        <v>189</v>
      </c>
      <c r="N71" s="85" t="str">
        <f>VLOOKUP(G71,'Club Namen'!$B$3:$C$34,2,FALSE)</f>
        <v>Hüseyin Avni Aker</v>
      </c>
      <c r="O71" s="86"/>
      <c r="P71" s="43"/>
      <c r="Q71" s="153"/>
      <c r="T71" s="43"/>
      <c r="U71" s="43"/>
      <c r="V71" s="43"/>
      <c r="W71" s="43"/>
      <c r="X71" s="43"/>
      <c r="Y71" s="43"/>
      <c r="Z71" s="43"/>
      <c r="AA71" s="35"/>
    </row>
    <row r="72" spans="2:107" ht="15" customHeight="1" x14ac:dyDescent="0.2">
      <c r="B72" s="42"/>
      <c r="C72" s="76"/>
      <c r="D72" s="78">
        <f t="shared" si="0"/>
        <v>4</v>
      </c>
      <c r="E72" s="78" t="s">
        <v>153</v>
      </c>
      <c r="F72" s="189">
        <v>40850</v>
      </c>
      <c r="G72" s="83" t="s">
        <v>173</v>
      </c>
      <c r="H72" s="77"/>
      <c r="I72" s="84"/>
      <c r="J72" s="84" t="s">
        <v>0</v>
      </c>
      <c r="K72" s="84"/>
      <c r="L72" s="77"/>
      <c r="M72" s="85" t="s">
        <v>190</v>
      </c>
      <c r="N72" s="85" t="str">
        <f>VLOOKUP(G72,'Club Namen'!$B$3:$C$34,2,FALSE)</f>
        <v>Giuseppe Meazza</v>
      </c>
      <c r="O72" s="86"/>
      <c r="P72" s="43"/>
      <c r="Q72" s="153"/>
      <c r="R72" s="43" t="s">
        <v>292</v>
      </c>
      <c r="T72" s="43"/>
      <c r="U72" s="43"/>
      <c r="V72" s="43"/>
      <c r="W72" s="43"/>
      <c r="X72" s="43"/>
      <c r="Y72" s="43"/>
      <c r="Z72" s="43"/>
      <c r="AA72" s="35"/>
    </row>
    <row r="73" spans="2:107" ht="15" customHeight="1" x14ac:dyDescent="0.2">
      <c r="B73" s="42"/>
      <c r="C73" s="76"/>
      <c r="D73" s="78">
        <f t="shared" si="0"/>
        <v>4</v>
      </c>
      <c r="E73" s="78" t="s">
        <v>154</v>
      </c>
      <c r="F73" s="189">
        <v>40850</v>
      </c>
      <c r="G73" s="83" t="s">
        <v>160</v>
      </c>
      <c r="H73" s="77"/>
      <c r="I73" s="84"/>
      <c r="J73" s="84" t="s">
        <v>0</v>
      </c>
      <c r="K73" s="84"/>
      <c r="L73" s="77"/>
      <c r="M73" s="85" t="s">
        <v>192</v>
      </c>
      <c r="N73" s="85" t="str">
        <f>VLOOKUP(G73,'Club Namen'!$B$3:$C$34,2,FALSE)</f>
        <v>Old Trafford</v>
      </c>
      <c r="O73" s="86"/>
      <c r="P73" s="43"/>
      <c r="Q73" s="153"/>
      <c r="R73" s="43" t="s">
        <v>293</v>
      </c>
      <c r="T73" s="43"/>
      <c r="U73" s="43"/>
      <c r="V73" s="43"/>
      <c r="W73" s="43"/>
      <c r="X73" s="43"/>
      <c r="Y73" s="43"/>
      <c r="Z73" s="43"/>
      <c r="AA73" s="35"/>
    </row>
    <row r="74" spans="2:107" ht="15" customHeight="1" x14ac:dyDescent="0.2">
      <c r="B74" s="42"/>
      <c r="C74" s="76"/>
      <c r="D74" s="78">
        <f t="shared" si="0"/>
        <v>4</v>
      </c>
      <c r="E74" s="78" t="s">
        <v>154</v>
      </c>
      <c r="F74" s="189">
        <v>40850</v>
      </c>
      <c r="G74" s="83" t="s">
        <v>176</v>
      </c>
      <c r="H74" s="77"/>
      <c r="I74" s="84"/>
      <c r="J74" s="84" t="s">
        <v>0</v>
      </c>
      <c r="K74" s="84"/>
      <c r="L74" s="77"/>
      <c r="M74" s="85" t="s">
        <v>178</v>
      </c>
      <c r="N74" s="85" t="str">
        <f>VLOOKUP(G74,'Club Namen'!$B$3:$C$34,2,FALSE)</f>
        <v>Estadio da Luz</v>
      </c>
      <c r="O74" s="86"/>
      <c r="P74" s="43"/>
      <c r="Q74" s="153"/>
      <c r="R74" s="43"/>
      <c r="T74" s="43"/>
      <c r="U74" s="43"/>
      <c r="V74" s="43"/>
      <c r="W74" s="43"/>
      <c r="X74" s="43"/>
      <c r="Y74" s="43"/>
      <c r="Z74" s="43"/>
      <c r="AA74" s="35"/>
    </row>
    <row r="75" spans="2:107" ht="15" customHeight="1" x14ac:dyDescent="0.2">
      <c r="B75" s="42"/>
      <c r="C75" s="76"/>
      <c r="D75" s="78">
        <f t="shared" si="0"/>
        <v>4</v>
      </c>
      <c r="E75" s="78" t="s">
        <v>2</v>
      </c>
      <c r="F75" s="189">
        <v>40850</v>
      </c>
      <c r="G75" s="83" t="s">
        <v>148</v>
      </c>
      <c r="H75" s="77"/>
      <c r="I75" s="84"/>
      <c r="J75" s="84" t="s">
        <v>0</v>
      </c>
      <c r="K75" s="84"/>
      <c r="L75" s="77"/>
      <c r="M75" s="85" t="s">
        <v>150</v>
      </c>
      <c r="N75" s="85" t="str">
        <f>VLOOKUP(G75,'Club Namen'!$B$3:$C$34,2,FALSE)</f>
        <v>Stade de Gerland</v>
      </c>
      <c r="O75" s="86"/>
      <c r="P75" s="43"/>
      <c r="Q75" s="153"/>
      <c r="R75" s="43" t="s">
        <v>294</v>
      </c>
      <c r="T75" s="43"/>
      <c r="U75" s="43"/>
      <c r="V75" s="43"/>
      <c r="W75" s="43"/>
      <c r="X75" s="43"/>
      <c r="Y75" s="43"/>
      <c r="Z75" s="43"/>
      <c r="AA75" s="35"/>
    </row>
    <row r="76" spans="2:107" ht="15" customHeight="1" x14ac:dyDescent="0.2">
      <c r="B76" s="42"/>
      <c r="C76" s="76"/>
      <c r="D76" s="78">
        <f t="shared" si="0"/>
        <v>4</v>
      </c>
      <c r="E76" s="78" t="s">
        <v>2</v>
      </c>
      <c r="F76" s="189">
        <v>40850</v>
      </c>
      <c r="G76" s="83" t="s">
        <v>179</v>
      </c>
      <c r="H76" s="77"/>
      <c r="I76" s="84"/>
      <c r="J76" s="84" t="s">
        <v>0</v>
      </c>
      <c r="K76" s="84"/>
      <c r="L76" s="77"/>
      <c r="M76" s="85" t="s">
        <v>203</v>
      </c>
      <c r="N76" s="85" t="str">
        <f>VLOOKUP(G76,'Club Namen'!$B$3:$C$34,2,FALSE)</f>
        <v>Amsterdam Arena</v>
      </c>
      <c r="O76" s="86"/>
      <c r="P76" s="43"/>
      <c r="Q76" s="153"/>
      <c r="R76" s="43" t="s">
        <v>295</v>
      </c>
      <c r="T76" s="43"/>
      <c r="U76" s="43"/>
      <c r="V76" s="43"/>
      <c r="W76" s="43"/>
      <c r="X76" s="43"/>
      <c r="Y76" s="43"/>
      <c r="Z76" s="43"/>
      <c r="AA76" s="35"/>
    </row>
    <row r="77" spans="2:107" ht="15" customHeight="1" x14ac:dyDescent="0.2">
      <c r="B77" s="42"/>
      <c r="C77" s="76"/>
      <c r="D77" s="78">
        <f t="shared" si="0"/>
        <v>5</v>
      </c>
      <c r="E77" s="78" t="s">
        <v>153</v>
      </c>
      <c r="F77" s="189">
        <v>40870</v>
      </c>
      <c r="G77" s="83" t="s">
        <v>189</v>
      </c>
      <c r="H77" s="77"/>
      <c r="I77" s="84"/>
      <c r="J77" s="84" t="s">
        <v>0</v>
      </c>
      <c r="K77" s="84"/>
      <c r="L77" s="77"/>
      <c r="M77" s="85" t="s">
        <v>190</v>
      </c>
      <c r="N77" s="85" t="str">
        <f>VLOOKUP(G77,'Club Namen'!$B$3:$C$34,2,FALSE)</f>
        <v>Luzhniki</v>
      </c>
      <c r="O77" s="86"/>
      <c r="P77" s="43"/>
      <c r="Q77" s="153"/>
      <c r="R77" s="43" t="s">
        <v>296</v>
      </c>
      <c r="T77" s="43"/>
      <c r="U77" s="43"/>
      <c r="V77" s="43"/>
      <c r="W77" s="43"/>
      <c r="X77" s="43"/>
      <c r="Y77" s="43"/>
      <c r="Z77" s="43"/>
      <c r="AA77" s="35"/>
    </row>
    <row r="78" spans="2:107" ht="15" customHeight="1" x14ac:dyDescent="0.2">
      <c r="B78" s="42"/>
      <c r="C78" s="76"/>
      <c r="D78" s="78">
        <f t="shared" si="0"/>
        <v>5</v>
      </c>
      <c r="E78" s="78" t="s">
        <v>4</v>
      </c>
      <c r="F78" s="189">
        <v>40870</v>
      </c>
      <c r="G78" s="83" t="s">
        <v>188</v>
      </c>
      <c r="H78" s="77"/>
      <c r="I78" s="84"/>
      <c r="J78" s="84" t="s">
        <v>0</v>
      </c>
      <c r="K78" s="84"/>
      <c r="L78" s="77"/>
      <c r="M78" s="85" t="s">
        <v>187</v>
      </c>
      <c r="N78" s="85" t="str">
        <f>VLOOKUP(G78,'Club Namen'!$B$3:$C$34,2,FALSE)</f>
        <v>San Paolo</v>
      </c>
      <c r="O78" s="86"/>
      <c r="P78" s="43"/>
      <c r="Q78" s="153"/>
      <c r="R78" s="43" t="s">
        <v>297</v>
      </c>
      <c r="T78" s="43"/>
      <c r="U78" s="43"/>
      <c r="V78" s="43"/>
      <c r="W78" s="43"/>
      <c r="X78" s="43"/>
      <c r="Y78" s="43"/>
      <c r="Z78" s="43"/>
      <c r="AA78" s="35"/>
    </row>
    <row r="79" spans="2:107" ht="15" customHeight="1" x14ac:dyDescent="0.2">
      <c r="B79" s="42"/>
      <c r="C79" s="76"/>
      <c r="D79" s="78">
        <f t="shared" si="0"/>
        <v>5</v>
      </c>
      <c r="E79" s="78" t="s">
        <v>4</v>
      </c>
      <c r="F79" s="189">
        <v>40870</v>
      </c>
      <c r="G79" s="83" t="s">
        <v>310</v>
      </c>
      <c r="H79" s="77"/>
      <c r="I79" s="84"/>
      <c r="J79" s="84" t="s">
        <v>0</v>
      </c>
      <c r="K79" s="84"/>
      <c r="L79" s="77"/>
      <c r="M79" s="85" t="s">
        <v>202</v>
      </c>
      <c r="N79" s="85" t="str">
        <f>VLOOKUP(G79,'Club Namen'!$B$3:$C$34,2,FALSE)</f>
        <v>Allianz Arena</v>
      </c>
      <c r="O79" s="86"/>
      <c r="P79" s="43"/>
      <c r="Q79" s="153"/>
      <c r="R79" s="43" t="s">
        <v>299</v>
      </c>
      <c r="T79" s="43"/>
      <c r="U79" s="43"/>
      <c r="V79" s="43"/>
      <c r="W79" s="43"/>
      <c r="X79" s="43"/>
      <c r="Y79" s="43"/>
      <c r="Z79" s="43"/>
      <c r="AA79" s="35"/>
    </row>
    <row r="80" spans="2:107" ht="15" customHeight="1" x14ac:dyDescent="0.2">
      <c r="B80" s="42"/>
      <c r="C80" s="76"/>
      <c r="D80" s="78">
        <f t="shared" si="0"/>
        <v>5</v>
      </c>
      <c r="E80" s="78" t="s">
        <v>153</v>
      </c>
      <c r="F80" s="189">
        <v>40870</v>
      </c>
      <c r="G80" s="83" t="s">
        <v>191</v>
      </c>
      <c r="H80" s="77"/>
      <c r="I80" s="84"/>
      <c r="J80" s="84" t="s">
        <v>0</v>
      </c>
      <c r="K80" s="84"/>
      <c r="L80" s="77"/>
      <c r="M80" s="85" t="s">
        <v>173</v>
      </c>
      <c r="N80" s="85" t="str">
        <f>VLOOKUP(G80,'Club Namen'!$B$3:$C$34,2,FALSE)</f>
        <v>Hüseyin Avni Aker</v>
      </c>
      <c r="O80" s="86"/>
      <c r="P80" s="43"/>
      <c r="Q80" s="153"/>
      <c r="R80" s="43" t="s">
        <v>298</v>
      </c>
      <c r="T80" s="43"/>
      <c r="U80" s="43"/>
      <c r="V80" s="43"/>
      <c r="W80" s="43"/>
      <c r="X80" s="43"/>
      <c r="Y80" s="43"/>
      <c r="Z80" s="43"/>
      <c r="AA80" s="35"/>
    </row>
    <row r="81" spans="2:27" ht="15" customHeight="1" x14ac:dyDescent="0.2">
      <c r="B81" s="42"/>
      <c r="C81" s="76"/>
      <c r="D81" s="78">
        <f t="shared" si="0"/>
        <v>5</v>
      </c>
      <c r="E81" s="78" t="s">
        <v>154</v>
      </c>
      <c r="F81" s="189">
        <v>40870</v>
      </c>
      <c r="G81" s="83" t="s">
        <v>192</v>
      </c>
      <c r="H81" s="77"/>
      <c r="I81" s="84"/>
      <c r="J81" s="84" t="s">
        <v>0</v>
      </c>
      <c r="K81" s="84"/>
      <c r="L81" s="77"/>
      <c r="M81" s="85" t="s">
        <v>178</v>
      </c>
      <c r="N81" s="85" t="str">
        <f>VLOOKUP(G81,'Club Namen'!$B$3:$C$34,2,FALSE)</f>
        <v>Oţelul</v>
      </c>
      <c r="O81" s="86"/>
      <c r="P81" s="43"/>
      <c r="Q81" s="153"/>
      <c r="T81" s="43"/>
      <c r="U81" s="43"/>
      <c r="V81" s="43"/>
      <c r="W81" s="43"/>
      <c r="X81" s="43"/>
      <c r="Y81" s="43"/>
      <c r="Z81" s="43"/>
      <c r="AA81" s="35"/>
    </row>
    <row r="82" spans="2:27" ht="15" customHeight="1" x14ac:dyDescent="0.2">
      <c r="B82" s="42"/>
      <c r="C82" s="76"/>
      <c r="D82" s="78">
        <f t="shared" si="0"/>
        <v>5</v>
      </c>
      <c r="E82" s="78" t="s">
        <v>154</v>
      </c>
      <c r="F82" s="189">
        <v>40870</v>
      </c>
      <c r="G82" s="83" t="s">
        <v>160</v>
      </c>
      <c r="H82" s="77"/>
      <c r="I82" s="84"/>
      <c r="J82" s="84" t="s">
        <v>0</v>
      </c>
      <c r="K82" s="84"/>
      <c r="L82" s="77"/>
      <c r="M82" s="85" t="s">
        <v>176</v>
      </c>
      <c r="N82" s="85" t="str">
        <f>VLOOKUP(G82,'Club Namen'!$B$3:$C$34,2,FALSE)</f>
        <v>Old Trafford</v>
      </c>
      <c r="O82" s="86"/>
      <c r="P82" s="43"/>
      <c r="Q82" s="153"/>
      <c r="R82" s="43"/>
      <c r="T82" s="43"/>
      <c r="U82" s="43"/>
      <c r="V82" s="43"/>
      <c r="W82" s="43"/>
      <c r="X82" s="43"/>
      <c r="Y82" s="43"/>
      <c r="Z82" s="43"/>
      <c r="AA82" s="35"/>
    </row>
    <row r="83" spans="2:27" ht="15" customHeight="1" x14ac:dyDescent="0.2">
      <c r="B83" s="42"/>
      <c r="C83" s="76"/>
      <c r="D83" s="78">
        <f t="shared" si="0"/>
        <v>5</v>
      </c>
      <c r="E83" s="78" t="s">
        <v>2</v>
      </c>
      <c r="F83" s="189">
        <v>40870</v>
      </c>
      <c r="G83" s="83" t="s">
        <v>150</v>
      </c>
      <c r="H83" s="77"/>
      <c r="I83" s="84"/>
      <c r="J83" s="84" t="s">
        <v>0</v>
      </c>
      <c r="K83" s="84"/>
      <c r="L83" s="77"/>
      <c r="M83" s="85" t="s">
        <v>203</v>
      </c>
      <c r="N83" s="85" t="str">
        <f>VLOOKUP(G83,'Club Namen'!$B$3:$C$34,2,FALSE)</f>
        <v>Santiago Bernabeu</v>
      </c>
      <c r="O83" s="86"/>
      <c r="P83" s="43"/>
      <c r="Q83" s="153"/>
      <c r="R83" s="43"/>
      <c r="T83" s="43"/>
      <c r="U83" s="43"/>
      <c r="V83" s="43"/>
      <c r="W83" s="43"/>
      <c r="X83" s="43"/>
      <c r="Y83" s="43"/>
      <c r="Z83" s="43"/>
      <c r="AA83" s="35"/>
    </row>
    <row r="84" spans="2:27" ht="15" customHeight="1" x14ac:dyDescent="0.2">
      <c r="B84" s="42"/>
      <c r="C84" s="76"/>
      <c r="D84" s="78">
        <f t="shared" si="0"/>
        <v>5</v>
      </c>
      <c r="E84" s="78" t="s">
        <v>2</v>
      </c>
      <c r="F84" s="189">
        <v>40870</v>
      </c>
      <c r="G84" s="83" t="s">
        <v>148</v>
      </c>
      <c r="H84" s="77"/>
      <c r="I84" s="84"/>
      <c r="J84" s="84" t="s">
        <v>0</v>
      </c>
      <c r="K84" s="84"/>
      <c r="L84" s="77"/>
      <c r="M84" s="85" t="s">
        <v>179</v>
      </c>
      <c r="N84" s="85" t="str">
        <f>VLOOKUP(G84,'Club Namen'!$B$3:$C$34,2,FALSE)</f>
        <v>Stade de Gerland</v>
      </c>
      <c r="O84" s="86"/>
      <c r="P84" s="43"/>
      <c r="Q84" s="153"/>
      <c r="R84" s="44" t="s">
        <v>304</v>
      </c>
      <c r="T84" s="43"/>
      <c r="U84" s="43"/>
      <c r="V84" s="43"/>
      <c r="W84" s="43"/>
      <c r="X84" s="43"/>
      <c r="Y84" s="43"/>
      <c r="Z84" s="43"/>
      <c r="AA84" s="35"/>
    </row>
    <row r="85" spans="2:27" ht="15" customHeight="1" x14ac:dyDescent="0.2">
      <c r="B85" s="42"/>
      <c r="C85" s="76"/>
      <c r="D85" s="78">
        <f t="shared" si="0"/>
        <v>5</v>
      </c>
      <c r="E85" s="78" t="s">
        <v>155</v>
      </c>
      <c r="F85" s="189">
        <v>40871</v>
      </c>
      <c r="G85" s="83" t="s">
        <v>193</v>
      </c>
      <c r="H85" s="77"/>
      <c r="I85" s="84"/>
      <c r="J85" s="84" t="s">
        <v>0</v>
      </c>
      <c r="K85" s="84"/>
      <c r="L85" s="77"/>
      <c r="M85" s="85" t="s">
        <v>145</v>
      </c>
      <c r="N85" s="85" t="str">
        <f>VLOOKUP(G85,'Club Namen'!$B$3:$C$34,2,FALSE)</f>
        <v>Bay Arena</v>
      </c>
      <c r="O85" s="86"/>
      <c r="P85" s="43"/>
      <c r="Q85" s="153"/>
      <c r="R85" s="62" t="s">
        <v>305</v>
      </c>
      <c r="T85" s="64" t="s">
        <v>270</v>
      </c>
      <c r="U85" s="43"/>
      <c r="V85" s="69" t="s">
        <v>306</v>
      </c>
      <c r="W85" s="43"/>
      <c r="X85" s="43"/>
      <c r="Y85" s="43"/>
      <c r="Z85" s="43"/>
      <c r="AA85" s="35"/>
    </row>
    <row r="86" spans="2:27" ht="15" customHeight="1" x14ac:dyDescent="0.2">
      <c r="B86" s="42"/>
      <c r="C86" s="76"/>
      <c r="D86" s="78">
        <f t="shared" si="0"/>
        <v>5</v>
      </c>
      <c r="E86" s="78" t="s">
        <v>155</v>
      </c>
      <c r="F86" s="189">
        <v>40871</v>
      </c>
      <c r="G86" s="83" t="s">
        <v>177</v>
      </c>
      <c r="H86" s="77"/>
      <c r="I86" s="84"/>
      <c r="J86" s="84" t="s">
        <v>0</v>
      </c>
      <c r="K86" s="84"/>
      <c r="L86" s="77"/>
      <c r="M86" s="85" t="s">
        <v>194</v>
      </c>
      <c r="N86" s="85" t="str">
        <f>VLOOKUP(G86,'Club Namen'!$B$3:$C$34,2,FALSE)</f>
        <v>Mestalla</v>
      </c>
      <c r="O86" s="86"/>
      <c r="P86" s="43"/>
      <c r="Q86" s="153"/>
      <c r="R86" s="58" t="s">
        <v>4</v>
      </c>
      <c r="S86" s="48" t="str">
        <f>S12</f>
        <v>Bayern München</v>
      </c>
      <c r="T86" s="48" t="str">
        <f>VLOOKUP(S86,'Club Namen'!$B$3:$D$34,3,FALSE)</f>
        <v>Deutschland</v>
      </c>
      <c r="U86" s="43"/>
      <c r="V86" s="84"/>
      <c r="W86" s="43"/>
      <c r="X86" s="65" t="str">
        <f t="shared" ref="X86:X93" si="1">S86</f>
        <v>Bayern München</v>
      </c>
      <c r="Z86" s="43"/>
      <c r="AA86" s="35"/>
    </row>
    <row r="87" spans="2:27" ht="15" customHeight="1" x14ac:dyDescent="0.2">
      <c r="B87" s="42"/>
      <c r="C87" s="76"/>
      <c r="D87" s="78">
        <f t="shared" si="0"/>
        <v>5</v>
      </c>
      <c r="E87" s="78" t="s">
        <v>3</v>
      </c>
      <c r="F87" s="189">
        <v>40871</v>
      </c>
      <c r="G87" s="83" t="s">
        <v>147</v>
      </c>
      <c r="H87" s="77"/>
      <c r="I87" s="84"/>
      <c r="J87" s="84" t="s">
        <v>0</v>
      </c>
      <c r="K87" s="84"/>
      <c r="L87" s="77"/>
      <c r="M87" s="85" t="s">
        <v>195</v>
      </c>
      <c r="N87" s="85" t="str">
        <f>VLOOKUP(G87,'Club Namen'!$B$3:$C$34,2,FALSE)</f>
        <v>Stade Velodrome</v>
      </c>
      <c r="O87" s="86"/>
      <c r="P87" s="43"/>
      <c r="Q87" s="153"/>
      <c r="R87" s="58" t="s">
        <v>153</v>
      </c>
      <c r="S87" s="48" t="str">
        <f>S19</f>
        <v>Internazionale</v>
      </c>
      <c r="T87" s="48" t="str">
        <f>VLOOKUP(S87,'Club Namen'!$B$3:$D$34,3,FALSE)</f>
        <v>Italien</v>
      </c>
      <c r="U87" s="43"/>
      <c r="V87" s="84"/>
      <c r="W87" s="43"/>
      <c r="X87" s="65" t="str">
        <f t="shared" si="1"/>
        <v>Internazionale</v>
      </c>
      <c r="Z87" s="43"/>
      <c r="AA87" s="35"/>
    </row>
    <row r="88" spans="2:27" ht="15" customHeight="1" x14ac:dyDescent="0.2">
      <c r="B88" s="42"/>
      <c r="C88" s="76"/>
      <c r="D88" s="78">
        <f t="shared" si="0"/>
        <v>5</v>
      </c>
      <c r="E88" s="78" t="s">
        <v>3</v>
      </c>
      <c r="F88" s="189">
        <v>40871</v>
      </c>
      <c r="G88" s="83" t="s">
        <v>149</v>
      </c>
      <c r="H88" s="77"/>
      <c r="I88" s="84"/>
      <c r="J88" s="84" t="s">
        <v>0</v>
      </c>
      <c r="K88" s="84"/>
      <c r="L88" s="77"/>
      <c r="M88" s="85" t="s">
        <v>196</v>
      </c>
      <c r="N88" s="85" t="str">
        <f>VLOOKUP(G88,'Club Namen'!$B$3:$C$34,2,FALSE)</f>
        <v>Emirates Stadium</v>
      </c>
      <c r="O88" s="86"/>
      <c r="P88" s="43"/>
      <c r="Q88" s="153"/>
      <c r="R88" s="58" t="s">
        <v>154</v>
      </c>
      <c r="S88" s="48" t="str">
        <f>S26</f>
        <v>Manchester United</v>
      </c>
      <c r="T88" s="48" t="str">
        <f>VLOOKUP(S88,'Club Namen'!$B$3:$D$34,3,FALSE)</f>
        <v>England</v>
      </c>
      <c r="U88" s="43"/>
      <c r="V88" s="84"/>
      <c r="W88" s="43"/>
      <c r="X88" s="65" t="str">
        <f t="shared" si="1"/>
        <v>Manchester United</v>
      </c>
      <c r="Z88" s="43"/>
      <c r="AA88" s="35"/>
    </row>
    <row r="89" spans="2:27" ht="15" customHeight="1" x14ac:dyDescent="0.2">
      <c r="B89" s="42"/>
      <c r="C89" s="76"/>
      <c r="D89" s="78">
        <f t="shared" si="0"/>
        <v>5</v>
      </c>
      <c r="E89" s="78" t="s">
        <v>156</v>
      </c>
      <c r="F89" s="189">
        <v>40871</v>
      </c>
      <c r="G89" s="83" t="s">
        <v>180</v>
      </c>
      <c r="H89" s="77"/>
      <c r="I89" s="84"/>
      <c r="J89" s="84" t="s">
        <v>0</v>
      </c>
      <c r="K89" s="84"/>
      <c r="L89" s="77"/>
      <c r="M89" s="85" t="s">
        <v>197</v>
      </c>
      <c r="N89" s="85" t="str">
        <f>VLOOKUP(G89,'Club Namen'!$B$3:$C$34,2,FALSE)</f>
        <v>Donbass Arena</v>
      </c>
      <c r="O89" s="86"/>
      <c r="P89" s="43"/>
      <c r="Q89" s="153"/>
      <c r="R89" s="58" t="s">
        <v>2</v>
      </c>
      <c r="S89" s="48" t="str">
        <f>S33</f>
        <v>Real Madrid</v>
      </c>
      <c r="T89" s="48" t="str">
        <f>VLOOKUP(S89,'Club Namen'!$B$3:$D$34,3,FALSE)</f>
        <v>Spanien</v>
      </c>
      <c r="U89" s="43"/>
      <c r="V89" s="84"/>
      <c r="W89" s="43"/>
      <c r="X89" s="65" t="str">
        <f t="shared" si="1"/>
        <v>Real Madrid</v>
      </c>
      <c r="Z89" s="43"/>
      <c r="AA89" s="35"/>
    </row>
    <row r="90" spans="2:27" ht="15" customHeight="1" x14ac:dyDescent="0.2">
      <c r="B90" s="42"/>
      <c r="C90" s="76"/>
      <c r="D90" s="78">
        <f t="shared" si="0"/>
        <v>5</v>
      </c>
      <c r="E90" s="78" t="s">
        <v>157</v>
      </c>
      <c r="F90" s="189">
        <v>40871</v>
      </c>
      <c r="G90" s="83" t="s">
        <v>162</v>
      </c>
      <c r="H90" s="77"/>
      <c r="I90" s="84"/>
      <c r="J90" s="84" t="s">
        <v>0</v>
      </c>
      <c r="K90" s="84"/>
      <c r="L90" s="77"/>
      <c r="M90" s="85" t="s">
        <v>146</v>
      </c>
      <c r="N90" s="85" t="str">
        <f>VLOOKUP(G90,'Club Namen'!$B$3:$C$34,2,FALSE)</f>
        <v>Giuseppe Meazza</v>
      </c>
      <c r="O90" s="86"/>
      <c r="P90" s="43"/>
      <c r="Q90" s="153"/>
      <c r="R90" s="58" t="s">
        <v>155</v>
      </c>
      <c r="S90" s="2" t="str">
        <f>S40</f>
        <v>Chelsea</v>
      </c>
      <c r="T90" s="48" t="str">
        <f>VLOOKUP(S90,'Club Namen'!$B$3:$D$34,3,FALSE)</f>
        <v>England</v>
      </c>
      <c r="U90" s="43"/>
      <c r="V90" s="84"/>
      <c r="W90" s="43"/>
      <c r="X90" s="65" t="str">
        <f t="shared" si="1"/>
        <v>Chelsea</v>
      </c>
      <c r="Z90" s="43"/>
      <c r="AA90" s="35"/>
    </row>
    <row r="91" spans="2:27" ht="15" customHeight="1" x14ac:dyDescent="0.2">
      <c r="B91" s="42"/>
      <c r="C91" s="76"/>
      <c r="D91" s="78">
        <f t="shared" si="0"/>
        <v>5</v>
      </c>
      <c r="E91" s="78" t="s">
        <v>157</v>
      </c>
      <c r="F91" s="189">
        <v>40871</v>
      </c>
      <c r="G91" s="83" t="s">
        <v>200</v>
      </c>
      <c r="H91" s="77"/>
      <c r="I91" s="84"/>
      <c r="J91" s="84" t="s">
        <v>0</v>
      </c>
      <c r="K91" s="84"/>
      <c r="L91" s="77"/>
      <c r="M91" s="85" t="s">
        <v>201</v>
      </c>
      <c r="N91" s="85" t="str">
        <f>VLOOKUP(G91,'Club Namen'!$B$3:$C$34,2,FALSE)</f>
        <v>City Stadium</v>
      </c>
      <c r="O91" s="86"/>
      <c r="P91" s="43"/>
      <c r="Q91" s="153"/>
      <c r="R91" s="58" t="s">
        <v>3</v>
      </c>
      <c r="S91" s="2" t="str">
        <f>S47</f>
        <v>Arsenal</v>
      </c>
      <c r="T91" s="48" t="str">
        <f>VLOOKUP(S91,'Club Namen'!$B$3:$D$34,3,FALSE)</f>
        <v>England</v>
      </c>
      <c r="U91" s="43"/>
      <c r="V91" s="84"/>
      <c r="W91" s="43"/>
      <c r="X91" s="65" t="str">
        <f t="shared" si="1"/>
        <v>Arsenal</v>
      </c>
      <c r="Z91" s="43"/>
      <c r="AA91" s="35"/>
    </row>
    <row r="92" spans="2:27" ht="15" customHeight="1" x14ac:dyDescent="0.2">
      <c r="B92" s="42"/>
      <c r="C92" s="76"/>
      <c r="D92" s="78">
        <f t="shared" si="0"/>
        <v>5</v>
      </c>
      <c r="E92" s="78" t="s">
        <v>156</v>
      </c>
      <c r="F92" s="189">
        <v>40871</v>
      </c>
      <c r="G92" s="83" t="s">
        <v>198</v>
      </c>
      <c r="H92" s="77"/>
      <c r="I92" s="84"/>
      <c r="J92" s="84" t="s">
        <v>0</v>
      </c>
      <c r="K92" s="84"/>
      <c r="L92" s="77"/>
      <c r="M92" s="85" t="s">
        <v>199</v>
      </c>
      <c r="N92" s="85" t="str">
        <f>VLOOKUP(G92,'Club Namen'!$B$3:$C$34,2,FALSE)</f>
        <v>Petrovsky Stadium</v>
      </c>
      <c r="O92" s="86"/>
      <c r="P92" s="43"/>
      <c r="Q92" s="153"/>
      <c r="R92" s="58" t="s">
        <v>156</v>
      </c>
      <c r="S92" s="2" t="str">
        <f>S54</f>
        <v>Porto</v>
      </c>
      <c r="T92" s="48" t="str">
        <f>VLOOKUP(S92,'Club Namen'!$B$3:$D$34,3,FALSE)</f>
        <v>Portugal</v>
      </c>
      <c r="U92" s="43"/>
      <c r="V92" s="84"/>
      <c r="W92" s="43"/>
      <c r="X92" s="65" t="str">
        <f t="shared" si="1"/>
        <v>Porto</v>
      </c>
      <c r="Z92" s="43"/>
      <c r="AA92" s="35"/>
    </row>
    <row r="93" spans="2:27" ht="15" customHeight="1" x14ac:dyDescent="0.2">
      <c r="B93" s="42"/>
      <c r="C93" s="76"/>
      <c r="D93" s="78">
        <f t="shared" si="0"/>
        <v>6</v>
      </c>
      <c r="E93" s="78" t="s">
        <v>155</v>
      </c>
      <c r="F93" s="189">
        <v>40884</v>
      </c>
      <c r="G93" s="83" t="s">
        <v>145</v>
      </c>
      <c r="H93" s="77"/>
      <c r="I93" s="84"/>
      <c r="J93" s="84" t="s">
        <v>0</v>
      </c>
      <c r="K93" s="84"/>
      <c r="L93" s="77"/>
      <c r="M93" s="85" t="s">
        <v>177</v>
      </c>
      <c r="N93" s="85" t="str">
        <f>VLOOKUP(G93,'Club Namen'!$B$3:$C$34,2,FALSE)</f>
        <v>Stamford Bridge</v>
      </c>
      <c r="O93" s="86"/>
      <c r="P93" s="43"/>
      <c r="Q93" s="153"/>
      <c r="R93" s="58" t="s">
        <v>157</v>
      </c>
      <c r="S93" s="2" t="str">
        <f>S61</f>
        <v>Barcelona</v>
      </c>
      <c r="T93" s="48" t="str">
        <f>VLOOKUP(S93,'Club Namen'!$B$3:$D$34,3,FALSE)</f>
        <v>Spanien</v>
      </c>
      <c r="U93" s="43"/>
      <c r="V93" s="84"/>
      <c r="W93" s="43"/>
      <c r="X93" s="65" t="str">
        <f t="shared" si="1"/>
        <v>Barcelona</v>
      </c>
      <c r="Z93" s="43"/>
      <c r="AA93" s="35"/>
    </row>
    <row r="94" spans="2:27" ht="15" customHeight="1" x14ac:dyDescent="0.2">
      <c r="B94" s="42"/>
      <c r="C94" s="76"/>
      <c r="D94" s="78">
        <f t="shared" ref="D94:D108" si="2">D78+1</f>
        <v>6</v>
      </c>
      <c r="E94" s="78" t="s">
        <v>155</v>
      </c>
      <c r="F94" s="189">
        <v>40884</v>
      </c>
      <c r="G94" s="83" t="s">
        <v>194</v>
      </c>
      <c r="H94" s="77"/>
      <c r="I94" s="84"/>
      <c r="J94" s="84" t="s">
        <v>0</v>
      </c>
      <c r="K94" s="84"/>
      <c r="L94" s="77"/>
      <c r="M94" s="85" t="s">
        <v>193</v>
      </c>
      <c r="N94" s="85" t="str">
        <f>VLOOKUP(G94,'Club Namen'!$B$3:$C$34,2,FALSE)</f>
        <v>Cristal Arena</v>
      </c>
      <c r="O94" s="86"/>
      <c r="P94" s="43"/>
      <c r="Q94" s="153"/>
      <c r="R94" s="56"/>
      <c r="T94" s="43"/>
      <c r="U94" s="43"/>
      <c r="V94" s="58"/>
      <c r="W94" s="43"/>
      <c r="X94" s="65"/>
      <c r="Z94" s="43"/>
      <c r="AA94" s="35"/>
    </row>
    <row r="95" spans="2:27" ht="15" customHeight="1" x14ac:dyDescent="0.2">
      <c r="B95" s="42"/>
      <c r="C95" s="76"/>
      <c r="D95" s="78">
        <f t="shared" si="2"/>
        <v>6</v>
      </c>
      <c r="E95" s="78" t="s">
        <v>3</v>
      </c>
      <c r="F95" s="189">
        <v>40884</v>
      </c>
      <c r="G95" s="83" t="s">
        <v>195</v>
      </c>
      <c r="H95" s="77"/>
      <c r="I95" s="84"/>
      <c r="J95" s="84" t="s">
        <v>0</v>
      </c>
      <c r="K95" s="84"/>
      <c r="L95" s="77"/>
      <c r="M95" s="85" t="s">
        <v>149</v>
      </c>
      <c r="N95" s="85" t="str">
        <f>VLOOKUP(G95,'Club Namen'!$B$3:$C$34,2,FALSE)</f>
        <v>Karaiskakis</v>
      </c>
      <c r="O95" s="86"/>
      <c r="P95" s="43"/>
      <c r="Q95" s="153"/>
      <c r="R95" s="63" t="s">
        <v>307</v>
      </c>
      <c r="T95" s="43"/>
      <c r="U95" s="43"/>
      <c r="V95" s="58"/>
      <c r="W95" s="43"/>
      <c r="X95" s="65"/>
      <c r="Z95" s="43"/>
      <c r="AA95" s="35"/>
    </row>
    <row r="96" spans="2:27" ht="15" customHeight="1" x14ac:dyDescent="0.2">
      <c r="B96" s="42"/>
      <c r="C96" s="76"/>
      <c r="D96" s="78">
        <f t="shared" si="2"/>
        <v>6</v>
      </c>
      <c r="E96" s="78" t="s">
        <v>3</v>
      </c>
      <c r="F96" s="189">
        <v>40884</v>
      </c>
      <c r="G96" s="83" t="s">
        <v>196</v>
      </c>
      <c r="H96" s="77"/>
      <c r="I96" s="84"/>
      <c r="J96" s="84" t="s">
        <v>0</v>
      </c>
      <c r="K96" s="84"/>
      <c r="L96" s="77"/>
      <c r="M96" s="85" t="s">
        <v>147</v>
      </c>
      <c r="N96" s="85" t="str">
        <f>VLOOKUP(G96,'Club Namen'!$B$3:$C$34,2,FALSE)</f>
        <v>Signal Iduna Park</v>
      </c>
      <c r="O96" s="86"/>
      <c r="P96" s="43"/>
      <c r="Q96" s="153"/>
      <c r="R96" s="58" t="s">
        <v>4</v>
      </c>
      <c r="S96" s="48" t="str">
        <f>S13</f>
        <v>Villarreal</v>
      </c>
      <c r="T96" s="48" t="str">
        <f>VLOOKUP(S96,'Club Namen'!$B$3:$D$34,3,FALSE)</f>
        <v>Spanien</v>
      </c>
      <c r="U96" s="43"/>
      <c r="V96" s="84"/>
      <c r="W96" s="43"/>
      <c r="X96" s="65" t="str">
        <f t="shared" ref="X96:X103" si="3">S96</f>
        <v>Villarreal</v>
      </c>
      <c r="Z96" s="43"/>
      <c r="AA96" s="35"/>
    </row>
    <row r="97" spans="2:27" ht="15" customHeight="1" x14ac:dyDescent="0.2">
      <c r="B97" s="42"/>
      <c r="C97" s="76"/>
      <c r="D97" s="78">
        <f t="shared" si="2"/>
        <v>6</v>
      </c>
      <c r="E97" s="78" t="s">
        <v>156</v>
      </c>
      <c r="F97" s="189">
        <v>40884</v>
      </c>
      <c r="G97" s="83" t="s">
        <v>197</v>
      </c>
      <c r="H97" s="77"/>
      <c r="I97" s="84"/>
      <c r="J97" s="84" t="s">
        <v>0</v>
      </c>
      <c r="K97" s="84"/>
      <c r="L97" s="77"/>
      <c r="M97" s="85" t="s">
        <v>198</v>
      </c>
      <c r="N97" s="85" t="str">
        <f>VLOOKUP(G97,'Club Namen'!$B$3:$C$34,2,FALSE)</f>
        <v>Estádio do Dragão</v>
      </c>
      <c r="O97" s="86"/>
      <c r="P97" s="43"/>
      <c r="Q97" s="153"/>
      <c r="R97" s="58" t="s">
        <v>153</v>
      </c>
      <c r="S97" s="48" t="str">
        <f>S20</f>
        <v>CSKA Moscow</v>
      </c>
      <c r="T97" s="48" t="str">
        <f>VLOOKUP(S97,'Club Namen'!$B$3:$D$34,3,FALSE)</f>
        <v>Russland</v>
      </c>
      <c r="U97" s="43"/>
      <c r="V97" s="84"/>
      <c r="W97" s="43"/>
      <c r="X97" s="65" t="str">
        <f t="shared" si="3"/>
        <v>CSKA Moscow</v>
      </c>
      <c r="Z97" s="43"/>
      <c r="AA97" s="35"/>
    </row>
    <row r="98" spans="2:27" ht="15" customHeight="1" x14ac:dyDescent="0.2">
      <c r="B98" s="42"/>
      <c r="C98" s="76"/>
      <c r="D98" s="78">
        <f t="shared" si="2"/>
        <v>6</v>
      </c>
      <c r="E98" s="78" t="s">
        <v>156</v>
      </c>
      <c r="F98" s="189">
        <v>40884</v>
      </c>
      <c r="G98" s="83" t="s">
        <v>199</v>
      </c>
      <c r="H98" s="77"/>
      <c r="I98" s="84"/>
      <c r="J98" s="84" t="s">
        <v>0</v>
      </c>
      <c r="K98" s="84"/>
      <c r="L98" s="77"/>
      <c r="M98" s="85" t="s">
        <v>180</v>
      </c>
      <c r="N98" s="85" t="str">
        <f>VLOOKUP(G98,'Club Namen'!$B$3:$C$34,2,FALSE)</f>
        <v>GSP Stadium</v>
      </c>
      <c r="O98" s="86"/>
      <c r="P98" s="43"/>
      <c r="Q98" s="153"/>
      <c r="R98" s="58" t="s">
        <v>154</v>
      </c>
      <c r="S98" s="48" t="str">
        <f>S27</f>
        <v>Benfica</v>
      </c>
      <c r="T98" s="48" t="str">
        <f>VLOOKUP(S98,'Club Namen'!$B$3:$D$34,3,FALSE)</f>
        <v>Portugal</v>
      </c>
      <c r="U98" s="43"/>
      <c r="V98" s="84"/>
      <c r="W98" s="43"/>
      <c r="X98" s="65" t="str">
        <f t="shared" si="3"/>
        <v>Benfica</v>
      </c>
      <c r="Z98" s="43"/>
      <c r="AA98" s="35"/>
    </row>
    <row r="99" spans="2:27" ht="15" customHeight="1" x14ac:dyDescent="0.2">
      <c r="B99" s="42"/>
      <c r="C99" s="76"/>
      <c r="D99" s="78">
        <f t="shared" si="2"/>
        <v>6</v>
      </c>
      <c r="E99" s="78" t="s">
        <v>157</v>
      </c>
      <c r="F99" s="189">
        <v>40884</v>
      </c>
      <c r="G99" s="83" t="s">
        <v>146</v>
      </c>
      <c r="H99" s="77"/>
      <c r="I99" s="84"/>
      <c r="J99" s="84" t="s">
        <v>0</v>
      </c>
      <c r="K99" s="84"/>
      <c r="L99" s="77"/>
      <c r="M99" s="85" t="s">
        <v>200</v>
      </c>
      <c r="N99" s="85" t="str">
        <f>VLOOKUP(G99,'Club Namen'!$B$3:$C$34,2,FALSE)</f>
        <v>Nou Camp</v>
      </c>
      <c r="O99" s="86"/>
      <c r="P99" s="43"/>
      <c r="Q99" s="153"/>
      <c r="R99" s="58" t="s">
        <v>2</v>
      </c>
      <c r="S99" s="48" t="str">
        <f>S34</f>
        <v>Lyon</v>
      </c>
      <c r="T99" s="48" t="str">
        <f>VLOOKUP(S99,'Club Namen'!$B$3:$D$34,3,FALSE)</f>
        <v>Frankreich</v>
      </c>
      <c r="U99" s="43"/>
      <c r="V99" s="84"/>
      <c r="W99" s="43"/>
      <c r="X99" s="65" t="str">
        <f t="shared" si="3"/>
        <v>Lyon</v>
      </c>
      <c r="Z99" s="43"/>
      <c r="AA99" s="35"/>
    </row>
    <row r="100" spans="2:27" ht="15" customHeight="1" x14ac:dyDescent="0.2">
      <c r="B100" s="42"/>
      <c r="C100" s="76"/>
      <c r="D100" s="78">
        <f t="shared" si="2"/>
        <v>6</v>
      </c>
      <c r="E100" s="78" t="s">
        <v>157</v>
      </c>
      <c r="F100" s="189">
        <v>40884</v>
      </c>
      <c r="G100" s="83" t="s">
        <v>201</v>
      </c>
      <c r="H100" s="77"/>
      <c r="I100" s="84"/>
      <c r="J100" s="84" t="s">
        <v>0</v>
      </c>
      <c r="K100" s="84"/>
      <c r="L100" s="77"/>
      <c r="M100" s="85" t="s">
        <v>162</v>
      </c>
      <c r="N100" s="85" t="str">
        <f>VLOOKUP(G100,'Club Namen'!$B$3:$C$34,2,FALSE)</f>
        <v>Štruncovy Sady Stadion</v>
      </c>
      <c r="O100" s="86"/>
      <c r="P100" s="43"/>
      <c r="Q100" s="153"/>
      <c r="R100" s="58" t="s">
        <v>155</v>
      </c>
      <c r="S100" s="2" t="str">
        <f>S41</f>
        <v>Valencia</v>
      </c>
      <c r="T100" s="48" t="str">
        <f>VLOOKUP(S100,'Club Namen'!$B$3:$D$34,3,FALSE)</f>
        <v>Spanien</v>
      </c>
      <c r="U100" s="43"/>
      <c r="V100" s="84"/>
      <c r="W100" s="43"/>
      <c r="X100" s="65" t="str">
        <f t="shared" si="3"/>
        <v>Valencia</v>
      </c>
      <c r="Z100" s="43"/>
      <c r="AA100" s="35"/>
    </row>
    <row r="101" spans="2:27" ht="15" customHeight="1" x14ac:dyDescent="0.2">
      <c r="B101" s="42"/>
      <c r="C101" s="76"/>
      <c r="D101" s="78">
        <f t="shared" si="2"/>
        <v>6</v>
      </c>
      <c r="E101" s="78" t="s">
        <v>4</v>
      </c>
      <c r="F101" s="189">
        <v>40885</v>
      </c>
      <c r="G101" s="83" t="s">
        <v>187</v>
      </c>
      <c r="H101" s="77"/>
      <c r="I101" s="84"/>
      <c r="J101" s="84" t="s">
        <v>0</v>
      </c>
      <c r="K101" s="84"/>
      <c r="L101" s="77"/>
      <c r="M101" s="85" t="s">
        <v>310</v>
      </c>
      <c r="N101" s="85" t="str">
        <f>VLOOKUP(G101,'Club Namen'!$B$3:$C$34,2,FALSE)</f>
        <v>City of Manchester</v>
      </c>
      <c r="O101" s="86"/>
      <c r="P101" s="43"/>
      <c r="Q101" s="153"/>
      <c r="R101" s="58" t="s">
        <v>3</v>
      </c>
      <c r="S101" s="2" t="str">
        <f>S48</f>
        <v>Marseille</v>
      </c>
      <c r="T101" s="48" t="str">
        <f>VLOOKUP(S101,'Club Namen'!$B$3:$D$34,3,FALSE)</f>
        <v>Frankreich</v>
      </c>
      <c r="U101" s="43"/>
      <c r="V101" s="84"/>
      <c r="W101" s="43"/>
      <c r="X101" s="65" t="str">
        <f t="shared" si="3"/>
        <v>Marseille</v>
      </c>
      <c r="Z101" s="43"/>
      <c r="AA101" s="35"/>
    </row>
    <row r="102" spans="2:27" ht="15" customHeight="1" x14ac:dyDescent="0.2">
      <c r="B102" s="42"/>
      <c r="C102" s="76"/>
      <c r="D102" s="78">
        <f t="shared" si="2"/>
        <v>6</v>
      </c>
      <c r="E102" s="78" t="s">
        <v>4</v>
      </c>
      <c r="F102" s="189">
        <v>40885</v>
      </c>
      <c r="G102" s="83" t="s">
        <v>202</v>
      </c>
      <c r="H102" s="77"/>
      <c r="I102" s="84"/>
      <c r="J102" s="84" t="s">
        <v>0</v>
      </c>
      <c r="K102" s="84"/>
      <c r="L102" s="77"/>
      <c r="M102" s="85" t="s">
        <v>188</v>
      </c>
      <c r="N102" s="85" t="str">
        <f>VLOOKUP(G102,'Club Namen'!$B$3:$C$34,2,FALSE)</f>
        <v>El Madrigal</v>
      </c>
      <c r="O102" s="86"/>
      <c r="P102" s="43"/>
      <c r="Q102" s="153"/>
      <c r="R102" s="58" t="s">
        <v>156</v>
      </c>
      <c r="S102" s="2" t="str">
        <f>S55</f>
        <v>Shakhtar Donetsk</v>
      </c>
      <c r="T102" s="48" t="str">
        <f>VLOOKUP(S102,'Club Namen'!$B$3:$D$34,3,FALSE)</f>
        <v>Ukraine</v>
      </c>
      <c r="U102" s="43"/>
      <c r="V102" s="84"/>
      <c r="W102" s="43"/>
      <c r="X102" s="65" t="str">
        <f t="shared" si="3"/>
        <v>Shakhtar Donetsk</v>
      </c>
      <c r="Z102" s="43"/>
      <c r="AA102" s="35"/>
    </row>
    <row r="103" spans="2:27" ht="15" customHeight="1" x14ac:dyDescent="0.2">
      <c r="B103" s="42"/>
      <c r="C103" s="76"/>
      <c r="D103" s="78">
        <f t="shared" si="2"/>
        <v>6</v>
      </c>
      <c r="E103" s="78" t="s">
        <v>153</v>
      </c>
      <c r="F103" s="189">
        <v>40885</v>
      </c>
      <c r="G103" s="83" t="s">
        <v>190</v>
      </c>
      <c r="H103" s="77"/>
      <c r="I103" s="84"/>
      <c r="J103" s="84" t="s">
        <v>0</v>
      </c>
      <c r="K103" s="84"/>
      <c r="L103" s="77"/>
      <c r="M103" s="85" t="s">
        <v>191</v>
      </c>
      <c r="N103" s="85" t="str">
        <f>VLOOKUP(G103,'Club Namen'!$B$3:$C$34,2,FALSE)</f>
        <v>Stade Lille-Metropole</v>
      </c>
      <c r="O103" s="86"/>
      <c r="P103" s="43"/>
      <c r="Q103" s="153"/>
      <c r="R103" s="58" t="s">
        <v>157</v>
      </c>
      <c r="S103" s="2" t="str">
        <f>S62</f>
        <v>AC Milan</v>
      </c>
      <c r="T103" s="48" t="str">
        <f>VLOOKUP(S103,'Club Namen'!$B$3:$D$34,3,FALSE)</f>
        <v>Italien</v>
      </c>
      <c r="U103" s="43"/>
      <c r="V103" s="84"/>
      <c r="W103" s="43"/>
      <c r="X103" s="65" t="str">
        <f t="shared" si="3"/>
        <v>AC Milan</v>
      </c>
      <c r="Z103" s="43"/>
      <c r="AA103" s="35"/>
    </row>
    <row r="104" spans="2:27" ht="15" customHeight="1" x14ac:dyDescent="0.2">
      <c r="B104" s="42"/>
      <c r="C104" s="76"/>
      <c r="D104" s="78">
        <f t="shared" si="2"/>
        <v>6</v>
      </c>
      <c r="E104" s="78" t="s">
        <v>153</v>
      </c>
      <c r="F104" s="189">
        <v>40885</v>
      </c>
      <c r="G104" s="83" t="s">
        <v>173</v>
      </c>
      <c r="H104" s="77"/>
      <c r="I104" s="84"/>
      <c r="J104" s="84" t="s">
        <v>0</v>
      </c>
      <c r="K104" s="84"/>
      <c r="L104" s="77"/>
      <c r="M104" s="85" t="s">
        <v>189</v>
      </c>
      <c r="N104" s="85" t="str">
        <f>VLOOKUP(G104,'Club Namen'!$B$3:$C$34,2,FALSE)</f>
        <v>Giuseppe Meazza</v>
      </c>
      <c r="O104" s="86"/>
      <c r="P104" s="43"/>
      <c r="Q104" s="153"/>
      <c r="Y104" s="43"/>
      <c r="Z104" s="43"/>
      <c r="AA104" s="35"/>
    </row>
    <row r="105" spans="2:27" ht="15" customHeight="1" x14ac:dyDescent="0.2">
      <c r="B105" s="42"/>
      <c r="C105" s="76"/>
      <c r="D105" s="78">
        <f t="shared" si="2"/>
        <v>6</v>
      </c>
      <c r="E105" s="78" t="s">
        <v>154</v>
      </c>
      <c r="F105" s="189">
        <v>40885</v>
      </c>
      <c r="G105" s="83" t="s">
        <v>178</v>
      </c>
      <c r="H105" s="77"/>
      <c r="I105" s="84"/>
      <c r="J105" s="84" t="s">
        <v>0</v>
      </c>
      <c r="K105" s="84"/>
      <c r="L105" s="77"/>
      <c r="M105" s="85" t="s">
        <v>160</v>
      </c>
      <c r="N105" s="85" t="str">
        <f>VLOOKUP(G105,'Club Namen'!$B$3:$C$34,2,FALSE)</f>
        <v>St. Jakob Park</v>
      </c>
      <c r="O105" s="86"/>
      <c r="P105" s="43"/>
      <c r="Q105" s="153"/>
      <c r="R105" s="56"/>
      <c r="S105" s="43"/>
      <c r="T105" s="43"/>
      <c r="U105" s="43"/>
      <c r="V105" s="43"/>
      <c r="W105" s="43"/>
      <c r="X105" s="43"/>
      <c r="Y105" s="43"/>
      <c r="Z105" s="43"/>
      <c r="AA105" s="35"/>
    </row>
    <row r="106" spans="2:27" ht="15" customHeight="1" x14ac:dyDescent="0.2">
      <c r="B106" s="42"/>
      <c r="C106" s="76"/>
      <c r="D106" s="78">
        <f t="shared" si="2"/>
        <v>6</v>
      </c>
      <c r="E106" s="78" t="s">
        <v>154</v>
      </c>
      <c r="F106" s="189">
        <v>40885</v>
      </c>
      <c r="G106" s="83" t="s">
        <v>176</v>
      </c>
      <c r="H106" s="77"/>
      <c r="I106" s="84"/>
      <c r="J106" s="84" t="s">
        <v>0</v>
      </c>
      <c r="K106" s="84"/>
      <c r="L106" s="77"/>
      <c r="M106" s="85" t="s">
        <v>192</v>
      </c>
      <c r="N106" s="85" t="str">
        <f>VLOOKUP(G106,'Club Namen'!$B$3:$C$34,2,FALSE)</f>
        <v>Estadio da Luz</v>
      </c>
      <c r="O106" s="86"/>
      <c r="P106" s="43"/>
      <c r="Q106" s="153"/>
      <c r="R106" s="56"/>
      <c r="S106" s="43"/>
      <c r="T106" s="43"/>
      <c r="U106" s="43"/>
      <c r="V106" s="43"/>
      <c r="W106" s="43"/>
      <c r="X106" s="43"/>
      <c r="Y106" s="43"/>
      <c r="Z106" s="43"/>
      <c r="AA106" s="35"/>
    </row>
    <row r="107" spans="2:27" ht="15" customHeight="1" x14ac:dyDescent="0.2">
      <c r="B107" s="42"/>
      <c r="C107" s="76"/>
      <c r="D107" s="78">
        <f t="shared" si="2"/>
        <v>6</v>
      </c>
      <c r="E107" s="78" t="s">
        <v>2</v>
      </c>
      <c r="F107" s="189">
        <v>40885</v>
      </c>
      <c r="G107" s="83" t="s">
        <v>203</v>
      </c>
      <c r="H107" s="77"/>
      <c r="I107" s="84"/>
      <c r="J107" s="84" t="s">
        <v>0</v>
      </c>
      <c r="K107" s="84"/>
      <c r="L107" s="77"/>
      <c r="M107" s="85" t="s">
        <v>148</v>
      </c>
      <c r="N107" s="85" t="str">
        <f>VLOOKUP(G107,'Club Namen'!$B$3:$C$34,2,FALSE)</f>
        <v>Maksimir</v>
      </c>
      <c r="O107" s="86"/>
      <c r="P107" s="43"/>
      <c r="Q107" s="153"/>
      <c r="R107" s="56"/>
      <c r="S107" s="43"/>
      <c r="T107" s="43"/>
      <c r="U107" s="43"/>
      <c r="V107" s="43"/>
      <c r="W107" s="43"/>
      <c r="X107" s="43"/>
      <c r="Y107" s="43"/>
      <c r="Z107" s="43"/>
      <c r="AA107" s="35"/>
    </row>
    <row r="108" spans="2:27" ht="15" customHeight="1" x14ac:dyDescent="0.2">
      <c r="B108" s="42"/>
      <c r="C108" s="76"/>
      <c r="D108" s="78">
        <f t="shared" si="2"/>
        <v>6</v>
      </c>
      <c r="E108" s="78" t="s">
        <v>2</v>
      </c>
      <c r="F108" s="189">
        <v>40885</v>
      </c>
      <c r="G108" s="83" t="s">
        <v>179</v>
      </c>
      <c r="H108" s="77"/>
      <c r="I108" s="84"/>
      <c r="J108" s="84" t="s">
        <v>0</v>
      </c>
      <c r="K108" s="84"/>
      <c r="L108" s="77"/>
      <c r="M108" s="85" t="s">
        <v>150</v>
      </c>
      <c r="N108" s="85" t="str">
        <f>VLOOKUP(G108,'Club Namen'!$B$3:$C$34,2,FALSE)</f>
        <v>Amsterdam Arena</v>
      </c>
      <c r="O108" s="86"/>
      <c r="P108" s="43"/>
      <c r="Q108" s="153"/>
      <c r="R108" s="56"/>
      <c r="S108" s="43"/>
      <c r="T108" s="43"/>
      <c r="U108" s="43"/>
      <c r="V108" s="43"/>
      <c r="W108" s="43"/>
      <c r="X108" s="43"/>
      <c r="Y108" s="43"/>
      <c r="Z108" s="43"/>
      <c r="AA108" s="35"/>
    </row>
    <row r="109" spans="2:27" ht="15" customHeight="1" x14ac:dyDescent="0.2">
      <c r="B109" s="42"/>
      <c r="C109" s="87"/>
      <c r="D109" s="88"/>
      <c r="E109" s="88"/>
      <c r="F109" s="88"/>
      <c r="G109" s="88"/>
      <c r="H109" s="88"/>
      <c r="I109" s="88"/>
      <c r="J109" s="89"/>
      <c r="K109" s="88"/>
      <c r="L109" s="88"/>
      <c r="M109" s="88"/>
      <c r="N109" s="88"/>
      <c r="O109" s="90"/>
      <c r="P109" s="43"/>
      <c r="Q109" s="153"/>
      <c r="R109" s="56"/>
      <c r="S109" s="43"/>
      <c r="T109" s="43"/>
      <c r="U109" s="43"/>
      <c r="V109" s="43"/>
      <c r="W109" s="43"/>
      <c r="X109" s="43"/>
      <c r="Y109" s="43"/>
      <c r="Z109" s="43"/>
      <c r="AA109" s="35"/>
    </row>
    <row r="110" spans="2:27" ht="15" customHeight="1" x14ac:dyDescent="0.2">
      <c r="B110" s="36"/>
      <c r="C110" s="37"/>
      <c r="D110" s="37"/>
      <c r="E110" s="37"/>
      <c r="F110" s="37"/>
      <c r="G110" s="37"/>
      <c r="H110" s="37"/>
      <c r="I110" s="37"/>
      <c r="J110" s="38"/>
      <c r="K110" s="37"/>
      <c r="L110" s="37"/>
      <c r="M110" s="37"/>
      <c r="N110" s="37"/>
      <c r="O110" s="37"/>
      <c r="P110" s="37"/>
      <c r="Q110" s="154"/>
      <c r="R110" s="57"/>
      <c r="S110" s="37"/>
      <c r="T110" s="37"/>
      <c r="U110" s="37"/>
      <c r="V110" s="37"/>
      <c r="W110" s="37"/>
      <c r="X110" s="37"/>
      <c r="Y110" s="37"/>
      <c r="Z110" s="37"/>
      <c r="AA110" s="39"/>
    </row>
  </sheetData>
  <sheetProtection sheet="1"/>
  <mergeCells count="5">
    <mergeCell ref="I11:K11"/>
    <mergeCell ref="B2:AA4"/>
    <mergeCell ref="B7:AA7"/>
    <mergeCell ref="R9:Z9"/>
    <mergeCell ref="C9:O9"/>
  </mergeCells>
  <phoneticPr fontId="2" type="noConversion"/>
  <conditionalFormatting sqref="G13:G108">
    <cfRule type="expression" dxfId="19" priority="1" stopIfTrue="1">
      <formula>AND(ISNUMBER(I13),ISNUMBER(K13),I13&gt;K13)</formula>
    </cfRule>
  </conditionalFormatting>
  <conditionalFormatting sqref="M13:N108">
    <cfRule type="expression" dxfId="18" priority="2" stopIfTrue="1">
      <formula>AND(ISNUMBER(I13),ISNUMBER(K13),I13&lt;K13)</formula>
    </cfRule>
  </conditionalFormatting>
  <conditionalFormatting sqref="I13:I108 K13:K108 V96:V103 V86:V93">
    <cfRule type="expression" dxfId="17" priority="3" stopIfTrue="1">
      <formula>ISBLANK(I13)</formula>
    </cfRule>
  </conditionalFormatting>
  <conditionalFormatting sqref="S12:S13 S19:S20 S26:S27 S33:S34 S40:S41 S47:S48 S54:S55 S61:S62">
    <cfRule type="expression" dxfId="16" priority="4" stopIfTrue="1">
      <formula>$T$12+$T$13+$T$14+$T$15=24</formula>
    </cfRule>
  </conditionalFormatting>
  <conditionalFormatting sqref="S14 S21 S28 S35 S42 S49 S56 S63">
    <cfRule type="expression" dxfId="15" priority="5" stopIfTrue="1">
      <formula>$T$12+$T$13+$T$14+$T$15=24</formula>
    </cfRule>
  </conditionalFormatting>
  <dataValidations count="1">
    <dataValidation type="list" allowBlank="1" showInputMessage="1" showErrorMessage="1" sqref="G13:G108 M13:M108">
      <formula1>Team</formula1>
    </dataValidation>
  </dataValidations>
  <hyperlinks>
    <hyperlink ref="F2:L4" r:id="rId1" display="VISIT WWW.EXCELTEMPLATE.NET FOR MORE TEMPLATES"/>
    <hyperlink ref="B2:L4" r:id="rId2" display="VISIT WWW.EXCELTEMPLATE.NET FOR MORE TEMPLATES AND UPDATES"/>
    <hyperlink ref="B2:AA4" r:id="rId3" display="Besuchen Sie exceltabelle.com fur mehrere vorlagen und updates"/>
  </hyperlinks>
  <printOptions horizontalCentered="1" verticalCentered="1"/>
  <pageMargins left="0.39" right="0.32" top="0.56999999999999995" bottom="0.5" header="0.25" footer="0.34"/>
  <pageSetup paperSize="9" scale="44" orientation="portrait" horizontalDpi="300" verticalDpi="300" r:id="rId4"/>
  <headerFooter alignWithMargins="0">
    <oddHeader>&amp;C&amp;"Arial,Bold"&amp;16
UEFA CHAMPIONS LEAGUE 2010/2011 GRUPPE SPIELPLAN</oddHeader>
    <oddFooter>&amp;C
copyright (c) 2011 exceltabelle.com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DD239"/>
  <sheetViews>
    <sheetView showGridLines="0" topLeftCell="B1" zoomScale="90" zoomScaleNormal="90" workbookViewId="0">
      <selection activeCell="D14" sqref="D14"/>
    </sheetView>
  </sheetViews>
  <sheetFormatPr defaultRowHeight="12.75" x14ac:dyDescent="0.2"/>
  <cols>
    <col min="1" max="2" width="2.42578125" style="91" customWidth="1"/>
    <col min="3" max="3" width="1.7109375" style="91" customWidth="1"/>
    <col min="4" max="4" width="7.5703125" style="91" customWidth="1"/>
    <col min="5" max="5" width="1.7109375" style="91" customWidth="1"/>
    <col min="6" max="6" width="22.7109375" style="91" customWidth="1"/>
    <col min="7" max="7" width="1.85546875" style="91" customWidth="1"/>
    <col min="8" max="8" width="22.7109375" style="91" customWidth="1"/>
    <col min="9" max="9" width="1.7109375" style="91" customWidth="1"/>
    <col min="10" max="10" width="4.7109375" style="91" customWidth="1"/>
    <col min="11" max="11" width="2.7109375" style="92" customWidth="1"/>
    <col min="12" max="12" width="4.7109375" style="91" customWidth="1"/>
    <col min="13" max="13" width="1.7109375" style="91" customWidth="1"/>
    <col min="14" max="14" width="22.7109375" style="91" customWidth="1"/>
    <col min="15" max="15" width="2.7109375" style="91" customWidth="1"/>
    <col min="16" max="16" width="4.7109375" style="91" customWidth="1"/>
    <col min="17" max="17" width="2.7109375" style="91" customWidth="1"/>
    <col min="18" max="18" width="4.7109375" style="91" customWidth="1"/>
    <col min="19" max="19" width="2.42578125" style="91" customWidth="1"/>
    <col min="20" max="20" width="22.7109375" style="91" customWidth="1"/>
    <col min="21" max="21" width="2.7109375" style="91" customWidth="1"/>
    <col min="22" max="22" width="4.7109375" style="91" customWidth="1"/>
    <col min="23" max="23" width="2.7109375" style="91" customWidth="1"/>
    <col min="24" max="24" width="4.7109375" style="91" customWidth="1"/>
    <col min="25" max="25" width="2.7109375" style="91" customWidth="1"/>
    <col min="26" max="26" width="22.7109375" style="91" customWidth="1"/>
    <col min="27" max="27" width="2.7109375" style="91" customWidth="1"/>
    <col min="28" max="28" width="1.7109375" style="91" customWidth="1"/>
    <col min="29" max="29" width="9.140625" style="91"/>
    <col min="30" max="30" width="1.7109375" style="93" customWidth="1"/>
    <col min="31" max="31" width="22.7109375" style="93" customWidth="1"/>
    <col min="32" max="33" width="2.7109375" style="91" customWidth="1"/>
    <col min="34" max="16384" width="9.140625" style="91"/>
  </cols>
  <sheetData>
    <row r="1" spans="2:108" x14ac:dyDescent="0.2">
      <c r="AE1" s="94"/>
      <c r="AF1" s="94"/>
    </row>
    <row r="2" spans="2:108" ht="15" customHeight="1" x14ac:dyDescent="0.2">
      <c r="B2" s="95"/>
      <c r="C2" s="95"/>
      <c r="D2" s="187" t="s">
        <v>223</v>
      </c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8"/>
      <c r="AE2" s="188"/>
      <c r="AF2" s="188"/>
      <c r="AG2" s="96"/>
    </row>
    <row r="3" spans="2:108" ht="8.25" customHeight="1" x14ac:dyDescent="0.2">
      <c r="B3" s="95"/>
      <c r="C3" s="95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8"/>
      <c r="AE3" s="188"/>
      <c r="AF3" s="188"/>
      <c r="AG3" s="96"/>
      <c r="CP3" s="94" t="s">
        <v>144</v>
      </c>
    </row>
    <row r="4" spans="2:108" ht="15" customHeight="1" x14ac:dyDescent="0.2">
      <c r="B4" s="95"/>
      <c r="C4" s="95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8"/>
      <c r="AE4" s="188"/>
      <c r="AF4" s="188"/>
      <c r="AG4" s="96"/>
      <c r="CP4" s="94"/>
      <c r="CQ4" s="94"/>
    </row>
    <row r="5" spans="2:108" x14ac:dyDescent="0.2">
      <c r="K5" s="91"/>
      <c r="Q5" s="93"/>
      <c r="R5" s="93"/>
      <c r="AD5" s="91"/>
      <c r="AE5" s="91"/>
      <c r="AG5" s="96"/>
      <c r="CP5" s="94"/>
      <c r="CQ5" s="94"/>
    </row>
    <row r="6" spans="2:108" x14ac:dyDescent="0.2">
      <c r="AG6" s="96"/>
      <c r="DC6" s="94"/>
      <c r="DD6" s="94"/>
    </row>
    <row r="7" spans="2:108" ht="15" customHeight="1" x14ac:dyDescent="0.2">
      <c r="B7" s="182" t="s">
        <v>291</v>
      </c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98"/>
      <c r="DC7" s="94"/>
      <c r="DD7" s="94"/>
    </row>
    <row r="8" spans="2:108" ht="15" customHeight="1" x14ac:dyDescent="0.2">
      <c r="K8" s="91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E8" s="91"/>
      <c r="DC8" s="94"/>
      <c r="DD8" s="94"/>
    </row>
    <row r="9" spans="2:108" ht="15" customHeight="1" x14ac:dyDescent="0.2">
      <c r="B9" s="182" t="s">
        <v>244</v>
      </c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3"/>
      <c r="AE9" s="183"/>
      <c r="AF9" s="184"/>
      <c r="CF9" s="94" t="s">
        <v>6</v>
      </c>
      <c r="CG9" s="94" t="s">
        <v>143</v>
      </c>
    </row>
    <row r="10" spans="2:108" ht="15" customHeight="1" x14ac:dyDescent="0.2">
      <c r="B10" s="76"/>
      <c r="C10" s="77"/>
      <c r="D10" s="77"/>
      <c r="E10" s="77"/>
      <c r="F10" s="77"/>
      <c r="G10" s="77"/>
      <c r="H10" s="77"/>
      <c r="I10" s="77"/>
      <c r="J10" s="77"/>
      <c r="K10" s="78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9"/>
      <c r="CF10" s="94"/>
      <c r="CG10" s="94"/>
    </row>
    <row r="11" spans="2:108" ht="15" customHeight="1" x14ac:dyDescent="0.2">
      <c r="B11" s="76"/>
      <c r="C11" s="185" t="s">
        <v>272</v>
      </c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77"/>
      <c r="R11" s="185" t="s">
        <v>271</v>
      </c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79"/>
      <c r="CF11" s="94"/>
      <c r="CG11" s="94"/>
    </row>
    <row r="12" spans="2:108" s="103" customFormat="1" ht="15" customHeight="1" x14ac:dyDescent="0.2">
      <c r="B12" s="99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101"/>
      <c r="AC12" s="96"/>
      <c r="AD12" s="96"/>
      <c r="AE12" s="96"/>
      <c r="AF12" s="102"/>
      <c r="CF12" s="104"/>
      <c r="CG12" s="104"/>
    </row>
    <row r="13" spans="2:108" ht="15" customHeight="1" x14ac:dyDescent="0.2">
      <c r="B13" s="76"/>
      <c r="C13" s="105"/>
      <c r="D13" s="106" t="s">
        <v>224</v>
      </c>
      <c r="E13" s="106" t="s">
        <v>8</v>
      </c>
      <c r="F13" s="107">
        <v>1</v>
      </c>
      <c r="G13" s="108"/>
      <c r="H13" s="59" t="str">
        <f>IF(ISNA(VLOOKUP(F13,Gruppenphase!$V$96:$X$103,3,FALSE)),"",VLOOKUP(F13,Gruppenphase!$V$96:$X$103,3,FALSE))</f>
        <v/>
      </c>
      <c r="I13" s="77"/>
      <c r="J13" s="84"/>
      <c r="K13" s="84" t="s">
        <v>0</v>
      </c>
      <c r="L13" s="84"/>
      <c r="M13" s="77"/>
      <c r="N13" s="10" t="str">
        <f>Z13</f>
        <v/>
      </c>
      <c r="O13" s="77"/>
      <c r="P13" s="77"/>
      <c r="Q13" s="77"/>
      <c r="R13" s="77"/>
      <c r="S13" s="77"/>
      <c r="T13" s="55" t="str">
        <f>H13</f>
        <v/>
      </c>
      <c r="U13" s="77"/>
      <c r="V13" s="84"/>
      <c r="W13" s="84" t="s">
        <v>0</v>
      </c>
      <c r="X13" s="84"/>
      <c r="Y13" s="77"/>
      <c r="Z13" s="60" t="str">
        <f>IF(ISNA(VLOOKUP(AE13,Gruppenphase!$V$86:$X$93,3,FALSE)),"",VLOOKUP(AE13,Gruppenphase!$V$86:$X$93,3,FALSE))</f>
        <v/>
      </c>
      <c r="AA13" s="110"/>
      <c r="AB13" s="110"/>
      <c r="AC13" s="106" t="str">
        <f>D13</f>
        <v>Spiel</v>
      </c>
      <c r="AD13" s="106" t="s">
        <v>8</v>
      </c>
      <c r="AE13" s="111">
        <f>F13</f>
        <v>1</v>
      </c>
      <c r="AF13" s="79"/>
      <c r="CF13" s="94"/>
      <c r="CG13" s="94"/>
    </row>
    <row r="14" spans="2:108" ht="15" customHeight="1" x14ac:dyDescent="0.2">
      <c r="B14" s="76"/>
      <c r="C14" s="112"/>
      <c r="D14" s="110" t="s">
        <v>227</v>
      </c>
      <c r="E14" s="110" t="s">
        <v>8</v>
      </c>
      <c r="F14" s="113"/>
      <c r="G14" s="77"/>
      <c r="H14" s="77"/>
      <c r="I14" s="77"/>
      <c r="J14" s="77"/>
      <c r="K14" s="78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112"/>
      <c r="AC14" s="110" t="str">
        <f>D14</f>
        <v>Datum</v>
      </c>
      <c r="AD14" s="110" t="s">
        <v>8</v>
      </c>
      <c r="AE14" s="113"/>
      <c r="AF14" s="79"/>
      <c r="CF14" s="94"/>
      <c r="CG14" s="94"/>
    </row>
    <row r="15" spans="2:108" ht="15" customHeight="1" x14ac:dyDescent="0.2">
      <c r="B15" s="76"/>
      <c r="C15" s="112"/>
      <c r="D15" s="110" t="s">
        <v>245</v>
      </c>
      <c r="E15" s="110" t="s">
        <v>8</v>
      </c>
      <c r="F15" s="114"/>
      <c r="G15" s="77"/>
      <c r="H15" s="115"/>
      <c r="I15" s="115"/>
      <c r="J15" s="115"/>
      <c r="K15" s="97"/>
      <c r="L15" s="115"/>
      <c r="M15" s="115"/>
      <c r="N15" s="115" t="s">
        <v>287</v>
      </c>
      <c r="O15" s="115" t="s">
        <v>8</v>
      </c>
      <c r="P15" s="47" t="str">
        <f>IF(AND(P16&lt;&gt;"",R16&lt;&gt;""),IF(P16&gt;R16,N16&amp;" win",IF(R16&gt;P16,T16&amp;" win",IF(AND(P16=R16,L13&gt;V13),T16&amp;" win on away goals",IF(AND(P16=R16,L13&lt;V13),N16&amp;" win on away goals","")))),"")</f>
        <v/>
      </c>
      <c r="Q15" s="47"/>
      <c r="R15" s="47"/>
      <c r="S15" s="115"/>
      <c r="T15" s="115"/>
      <c r="U15" s="115"/>
      <c r="V15" s="115"/>
      <c r="W15" s="115"/>
      <c r="X15" s="115"/>
      <c r="Y15" s="115"/>
      <c r="Z15" s="115"/>
      <c r="AA15" s="77"/>
      <c r="AB15" s="112"/>
      <c r="AC15" s="110" t="str">
        <f>D15</f>
        <v>Zeit</v>
      </c>
      <c r="AD15" s="110" t="s">
        <v>8</v>
      </c>
      <c r="AE15" s="116"/>
      <c r="AF15" s="79"/>
      <c r="CF15" s="94"/>
      <c r="CG15" s="94"/>
    </row>
    <row r="16" spans="2:108" ht="15" customHeight="1" x14ac:dyDescent="0.2">
      <c r="B16" s="76"/>
      <c r="C16" s="112"/>
      <c r="D16" s="110" t="s">
        <v>243</v>
      </c>
      <c r="E16" s="110" t="s">
        <v>8</v>
      </c>
      <c r="F16" s="116" t="str">
        <f>IF(H13&lt;&gt;"",VLOOKUP(H13,'Club Namen'!$B$3:$C$34,2,FALSE),"")</f>
        <v/>
      </c>
      <c r="G16" s="77"/>
      <c r="H16" s="77"/>
      <c r="I16" s="77"/>
      <c r="J16" s="78"/>
      <c r="K16" s="117"/>
      <c r="L16" s="118"/>
      <c r="M16" s="78" t="e">
        <f>IF(SUM(#REF!)=12,#REF!,"Group A Winner")</f>
        <v>#REF!</v>
      </c>
      <c r="N16" s="109" t="str">
        <f>H13</f>
        <v/>
      </c>
      <c r="O16" s="96"/>
      <c r="P16" s="11" t="str">
        <f>IF(P17="","",IF(AND(P17=R17,P17&lt;&gt;"",R17&lt;&gt;""),IF(AND(L13=V13,J13=X13),IF(AND(P18=R18,P18&lt;&gt;"",R18&lt;&gt;""),IF(AND(P19=R19,P19&lt;&gt;"",R19&lt;&gt;""),"",P17+P18+P19),P17+P18),P17),P17))</f>
        <v/>
      </c>
      <c r="Q16" s="23" t="s">
        <v>0</v>
      </c>
      <c r="R16" s="11" t="str">
        <f>IF(R17="","",IF(AND(P17=R17,P17&lt;&gt;"",R17&lt;&gt;""),IF(AND(L13=V13,J13=X13),IF(AND(P18=R18,P18&lt;&gt;"",R18&lt;&gt;""),IF(AND(P19=R19,P19&lt;&gt;"",R19&lt;&gt;""),"",R17+R18+R19),R17+R18),R17),R17))</f>
        <v/>
      </c>
      <c r="S16" s="96"/>
      <c r="T16" s="96" t="str">
        <f>Z13</f>
        <v/>
      </c>
      <c r="U16" s="77"/>
      <c r="V16" s="77"/>
      <c r="W16" s="77"/>
      <c r="X16" s="77"/>
      <c r="Y16" s="77"/>
      <c r="Z16" s="77"/>
      <c r="AA16" s="77"/>
      <c r="AB16" s="112"/>
      <c r="AC16" s="110" t="str">
        <f>D16</f>
        <v>Stadion</v>
      </c>
      <c r="AD16" s="110" t="s">
        <v>8</v>
      </c>
      <c r="AE16" s="116" t="str">
        <f>IF(Z13&lt;&gt;"",VLOOKUP(Z13,'Club Namen'!$B$3:$C$34,2,FALSE),"")</f>
        <v/>
      </c>
      <c r="AF16" s="79"/>
      <c r="CF16" s="94"/>
      <c r="CG16" s="94"/>
    </row>
    <row r="17" spans="2:85" ht="15" customHeight="1" x14ac:dyDescent="0.2">
      <c r="B17" s="76"/>
      <c r="C17" s="112"/>
      <c r="D17" s="110"/>
      <c r="E17" s="110"/>
      <c r="F17" s="116" t="str">
        <f>IF(H13&lt;&gt;"",VLOOKUP(H13,'Club Namen'!$B$3:$D$34,3,FALSE),"")</f>
        <v/>
      </c>
      <c r="G17" s="77"/>
      <c r="H17" s="77"/>
      <c r="I17" s="77"/>
      <c r="J17" s="77"/>
      <c r="K17" s="119"/>
      <c r="L17" s="118"/>
      <c r="M17" s="77"/>
      <c r="N17" s="156" t="s">
        <v>246</v>
      </c>
      <c r="O17" s="120"/>
      <c r="P17" s="23" t="str">
        <f>IF(AND(J13&lt;&gt;"",V13&lt;&gt;""),J13+V13,"")</f>
        <v/>
      </c>
      <c r="Q17" s="23" t="s">
        <v>0</v>
      </c>
      <c r="R17" s="23" t="str">
        <f>IF(AND(L13&lt;&gt;"",X13&lt;&gt;""),L13+X13,"")</f>
        <v/>
      </c>
      <c r="S17" s="77"/>
      <c r="T17" s="77"/>
      <c r="U17" s="77"/>
      <c r="V17" s="77"/>
      <c r="W17" s="77"/>
      <c r="X17" s="77"/>
      <c r="Y17" s="77"/>
      <c r="Z17" s="77"/>
      <c r="AA17" s="77"/>
      <c r="AB17" s="112"/>
      <c r="AC17" s="110"/>
      <c r="AD17" s="110"/>
      <c r="AE17" s="116" t="str">
        <f>IF(Z13&lt;&gt;"",VLOOKUP(Z13,'Club Namen'!$B$3:$D$34,3,FALSE),"")</f>
        <v/>
      </c>
      <c r="AF17" s="79"/>
      <c r="CF17" s="94"/>
      <c r="CG17" s="94"/>
    </row>
    <row r="18" spans="2:85" ht="15" customHeight="1" x14ac:dyDescent="0.2">
      <c r="B18" s="76"/>
      <c r="C18" s="112"/>
      <c r="D18" s="110"/>
      <c r="E18" s="110"/>
      <c r="F18" s="114"/>
      <c r="G18" s="77"/>
      <c r="H18" s="77"/>
      <c r="I18" s="77"/>
      <c r="J18" s="77"/>
      <c r="K18" s="119"/>
      <c r="L18" s="118"/>
      <c r="M18" s="77"/>
      <c r="N18" s="156" t="s">
        <v>247</v>
      </c>
      <c r="O18" s="120"/>
      <c r="P18" s="84"/>
      <c r="Q18" s="84" t="s">
        <v>0</v>
      </c>
      <c r="R18" s="84"/>
      <c r="S18" s="77"/>
      <c r="T18" s="77"/>
      <c r="U18" s="77"/>
      <c r="V18" s="77"/>
      <c r="W18" s="77"/>
      <c r="X18" s="77"/>
      <c r="Y18" s="77"/>
      <c r="Z18" s="77"/>
      <c r="AA18" s="77"/>
      <c r="AB18" s="112"/>
      <c r="AC18" s="110"/>
      <c r="AD18" s="110"/>
      <c r="AE18" s="114"/>
      <c r="AF18" s="79"/>
      <c r="CF18" s="94"/>
      <c r="CG18" s="94"/>
    </row>
    <row r="19" spans="2:85" ht="15" customHeight="1" x14ac:dyDescent="0.2">
      <c r="B19" s="76"/>
      <c r="C19" s="121"/>
      <c r="D19" s="122"/>
      <c r="E19" s="122"/>
      <c r="F19" s="123"/>
      <c r="G19" s="77"/>
      <c r="H19" s="77"/>
      <c r="I19" s="77"/>
      <c r="J19" s="77"/>
      <c r="K19" s="119"/>
      <c r="L19" s="118"/>
      <c r="M19" s="77"/>
      <c r="N19" s="156" t="s">
        <v>248</v>
      </c>
      <c r="O19" s="120"/>
      <c r="P19" s="84"/>
      <c r="Q19" s="84" t="s">
        <v>0</v>
      </c>
      <c r="R19" s="84"/>
      <c r="S19" s="77"/>
      <c r="T19" s="77"/>
      <c r="U19" s="77"/>
      <c r="V19" s="77"/>
      <c r="W19" s="77"/>
      <c r="X19" s="77"/>
      <c r="Y19" s="77"/>
      <c r="Z19" s="77"/>
      <c r="AA19" s="77"/>
      <c r="AB19" s="121"/>
      <c r="AC19" s="122"/>
      <c r="AD19" s="122"/>
      <c r="AE19" s="123"/>
      <c r="AF19" s="79"/>
      <c r="CF19" s="94"/>
      <c r="CG19" s="94"/>
    </row>
    <row r="20" spans="2:85" ht="15" customHeight="1" x14ac:dyDescent="0.2">
      <c r="B20" s="76"/>
      <c r="C20" s="77"/>
      <c r="D20" s="77"/>
      <c r="E20" s="77"/>
      <c r="F20" s="77"/>
      <c r="G20" s="77"/>
      <c r="H20" s="77"/>
      <c r="I20" s="77"/>
      <c r="J20" s="77"/>
      <c r="K20" s="78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9"/>
      <c r="CF20" s="94"/>
      <c r="CG20" s="94"/>
    </row>
    <row r="21" spans="2:85" ht="15" customHeight="1" x14ac:dyDescent="0.2">
      <c r="B21" s="76"/>
      <c r="C21" s="185" t="s">
        <v>272</v>
      </c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77"/>
      <c r="R21" s="185" t="s">
        <v>271</v>
      </c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79"/>
      <c r="CF21" s="94"/>
      <c r="CG21" s="94"/>
    </row>
    <row r="22" spans="2:85" ht="15" customHeight="1" x14ac:dyDescent="0.2">
      <c r="B22" s="76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101"/>
      <c r="AC22" s="96"/>
      <c r="AD22" s="96"/>
      <c r="AE22" s="96"/>
      <c r="AF22" s="79"/>
      <c r="CF22" s="94"/>
      <c r="CG22" s="94"/>
    </row>
    <row r="23" spans="2:85" ht="15" customHeight="1" x14ac:dyDescent="0.2">
      <c r="B23" s="76"/>
      <c r="C23" s="105"/>
      <c r="D23" s="106" t="str">
        <f>D13</f>
        <v>Spiel</v>
      </c>
      <c r="E23" s="106" t="s">
        <v>8</v>
      </c>
      <c r="F23" s="107">
        <v>2</v>
      </c>
      <c r="G23" s="108"/>
      <c r="H23" s="59" t="str">
        <f>IF(ISNA(VLOOKUP(F23,Gruppenphase!$V$96:$X$103,3,FALSE)),"",VLOOKUP(F23,Gruppenphase!$V$96:$X$103,3,FALSE))</f>
        <v/>
      </c>
      <c r="I23" s="77"/>
      <c r="J23" s="84"/>
      <c r="K23" s="84" t="s">
        <v>0</v>
      </c>
      <c r="L23" s="84"/>
      <c r="M23" s="77"/>
      <c r="N23" s="10" t="str">
        <f>Z23</f>
        <v/>
      </c>
      <c r="O23" s="77"/>
      <c r="P23" s="77"/>
      <c r="Q23" s="77"/>
      <c r="R23" s="77"/>
      <c r="S23" s="77"/>
      <c r="T23" s="55" t="str">
        <f>H23</f>
        <v/>
      </c>
      <c r="U23" s="77"/>
      <c r="V23" s="84"/>
      <c r="W23" s="84" t="s">
        <v>0</v>
      </c>
      <c r="X23" s="84"/>
      <c r="Y23" s="77"/>
      <c r="Z23" s="60" t="str">
        <f>IF(ISNA(VLOOKUP(AE23,Gruppenphase!$V$86:$X$93,3,FALSE)),"",VLOOKUP(AE23,Gruppenphase!$V$86:$X$93,3,FALSE))</f>
        <v/>
      </c>
      <c r="AA23" s="110"/>
      <c r="AB23" s="110"/>
      <c r="AC23" s="106" t="str">
        <f>AC13</f>
        <v>Spiel</v>
      </c>
      <c r="AD23" s="106" t="s">
        <v>8</v>
      </c>
      <c r="AE23" s="111">
        <f>F23</f>
        <v>2</v>
      </c>
      <c r="AF23" s="79"/>
      <c r="CF23" s="94"/>
      <c r="CG23" s="94"/>
    </row>
    <row r="24" spans="2:85" ht="15" customHeight="1" x14ac:dyDescent="0.2">
      <c r="B24" s="76"/>
      <c r="C24" s="112"/>
      <c r="D24" s="110" t="str">
        <f>D14</f>
        <v>Datum</v>
      </c>
      <c r="E24" s="110" t="s">
        <v>8</v>
      </c>
      <c r="F24" s="113"/>
      <c r="G24" s="77"/>
      <c r="H24" s="77"/>
      <c r="I24" s="77"/>
      <c r="J24" s="77"/>
      <c r="K24" s="78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112"/>
      <c r="AC24" s="110" t="str">
        <f>AC14</f>
        <v>Datum</v>
      </c>
      <c r="AD24" s="110" t="s">
        <v>8</v>
      </c>
      <c r="AE24" s="113"/>
      <c r="AF24" s="79"/>
      <c r="CF24" s="94"/>
      <c r="CG24" s="94"/>
    </row>
    <row r="25" spans="2:85" ht="15" customHeight="1" x14ac:dyDescent="0.2">
      <c r="B25" s="76"/>
      <c r="C25" s="112"/>
      <c r="D25" s="110" t="str">
        <f>D15</f>
        <v>Zeit</v>
      </c>
      <c r="E25" s="110" t="s">
        <v>8</v>
      </c>
      <c r="F25" s="114"/>
      <c r="G25" s="77"/>
      <c r="H25" s="115"/>
      <c r="I25" s="115"/>
      <c r="J25" s="115"/>
      <c r="K25" s="97"/>
      <c r="L25" s="115"/>
      <c r="M25" s="115"/>
      <c r="N25" s="115" t="s">
        <v>287</v>
      </c>
      <c r="O25" s="115" t="s">
        <v>8</v>
      </c>
      <c r="P25" s="47" t="str">
        <f>IF(AND(P26&lt;&gt;"",R26&lt;&gt;""),IF(P26&gt;R26,N26&amp;" win",IF(R26&gt;P26,T26&amp;" win",IF(AND(P26=R26,L23&gt;V23),T26&amp;" win on away goals",IF(AND(P26=R26,L23&lt;V23),N26&amp;" win on away goals","")))),"")</f>
        <v/>
      </c>
      <c r="Q25" s="47"/>
      <c r="R25" s="47"/>
      <c r="S25" s="115"/>
      <c r="T25" s="115"/>
      <c r="U25" s="115"/>
      <c r="V25" s="115"/>
      <c r="W25" s="115"/>
      <c r="X25" s="115"/>
      <c r="Y25" s="115"/>
      <c r="Z25" s="115"/>
      <c r="AA25" s="77"/>
      <c r="AB25" s="112"/>
      <c r="AC25" s="110" t="str">
        <f>AC15</f>
        <v>Zeit</v>
      </c>
      <c r="AD25" s="110" t="s">
        <v>8</v>
      </c>
      <c r="AE25" s="116"/>
      <c r="AF25" s="79"/>
      <c r="CF25" s="94"/>
      <c r="CG25" s="94"/>
    </row>
    <row r="26" spans="2:85" ht="15" customHeight="1" x14ac:dyDescent="0.2">
      <c r="B26" s="76"/>
      <c r="C26" s="112"/>
      <c r="D26" s="110" t="str">
        <f>D16</f>
        <v>Stadion</v>
      </c>
      <c r="E26" s="110" t="s">
        <v>8</v>
      </c>
      <c r="F26" s="116" t="str">
        <f>IF(H23&lt;&gt;"",VLOOKUP(H23,'Club Namen'!$B$3:$C$34,2,FALSE),"")</f>
        <v/>
      </c>
      <c r="G26" s="77"/>
      <c r="H26" s="77"/>
      <c r="I26" s="77"/>
      <c r="J26" s="78"/>
      <c r="K26" s="117"/>
      <c r="L26" s="118"/>
      <c r="M26" s="78" t="e">
        <f>IF(SUM(#REF!)=12,#REF!,"Group A Winner")</f>
        <v>#REF!</v>
      </c>
      <c r="N26" s="55" t="str">
        <f>H23</f>
        <v/>
      </c>
      <c r="O26" s="96"/>
      <c r="P26" s="11" t="str">
        <f>IF(P27="","",IF(AND(P27=R27,P27&lt;&gt;"",R27&lt;&gt;""),IF(AND(L23=V23,J23=X23),IF(AND(P28=R28,P28&lt;&gt;"",R28&lt;&gt;""),IF(AND(P29=R29,P29&lt;&gt;"",R29&lt;&gt;""),"",P27+P28+P29),P27+P28),P27),P27))</f>
        <v/>
      </c>
      <c r="Q26" s="23" t="s">
        <v>0</v>
      </c>
      <c r="R26" s="11" t="str">
        <f>IF(R27="","",IF(AND(P27=R27,P27&lt;&gt;"",R27&lt;&gt;""),IF(AND(L23=V23,J23=X23),IF(AND(P28=R28,P28&lt;&gt;"",R28&lt;&gt;""),IF(AND(P29=R29,P29&lt;&gt;"",R29&lt;&gt;""),"",R27+R28+R29),R27+R28),R27),R27))</f>
        <v/>
      </c>
      <c r="S26" s="96"/>
      <c r="T26" s="31" t="str">
        <f>Z23</f>
        <v/>
      </c>
      <c r="U26" s="77"/>
      <c r="V26" s="77"/>
      <c r="W26" s="77"/>
      <c r="X26" s="77"/>
      <c r="Y26" s="77"/>
      <c r="Z26" s="77"/>
      <c r="AA26" s="77"/>
      <c r="AB26" s="112"/>
      <c r="AC26" s="110" t="str">
        <f>AC16</f>
        <v>Stadion</v>
      </c>
      <c r="AD26" s="110" t="s">
        <v>8</v>
      </c>
      <c r="AE26" s="116" t="str">
        <f>IF(Z23&lt;&gt;"",VLOOKUP(Z23,'Club Namen'!$B$3:$C$34,2,FALSE),"")</f>
        <v/>
      </c>
      <c r="AF26" s="79"/>
      <c r="CF26" s="94"/>
      <c r="CG26" s="94"/>
    </row>
    <row r="27" spans="2:85" ht="15" customHeight="1" x14ac:dyDescent="0.2">
      <c r="B27" s="76"/>
      <c r="C27" s="112"/>
      <c r="D27" s="110"/>
      <c r="E27" s="110"/>
      <c r="F27" s="116" t="str">
        <f>IF(H23&lt;&gt;"",VLOOKUP(H23,'Club Namen'!$B$3:$D$34,3,FALSE),"")</f>
        <v/>
      </c>
      <c r="G27" s="77"/>
      <c r="H27" s="77"/>
      <c r="I27" s="77"/>
      <c r="J27" s="77"/>
      <c r="K27" s="119"/>
      <c r="L27" s="118"/>
      <c r="M27" s="77"/>
      <c r="N27" s="156" t="s">
        <v>246</v>
      </c>
      <c r="O27" s="120"/>
      <c r="P27" s="23" t="str">
        <f>IF(AND(J23&lt;&gt;"",V23&lt;&gt;""),J23+V23,"")</f>
        <v/>
      </c>
      <c r="Q27" s="23" t="s">
        <v>0</v>
      </c>
      <c r="R27" s="23" t="str">
        <f>IF(AND(L23&lt;&gt;"",X23&lt;&gt;""),L23+X23,"")</f>
        <v/>
      </c>
      <c r="S27" s="77"/>
      <c r="T27" s="77"/>
      <c r="U27" s="77"/>
      <c r="V27" s="77"/>
      <c r="W27" s="77"/>
      <c r="X27" s="77"/>
      <c r="Y27" s="77"/>
      <c r="Z27" s="77"/>
      <c r="AA27" s="77"/>
      <c r="AB27" s="112"/>
      <c r="AC27" s="110"/>
      <c r="AD27" s="110"/>
      <c r="AE27" s="116" t="str">
        <f>IF(Z23&lt;&gt;"",VLOOKUP(Z23,'Club Namen'!$B$3:$D$34,3,FALSE),"")</f>
        <v/>
      </c>
      <c r="AF27" s="79"/>
      <c r="CF27" s="94"/>
      <c r="CG27" s="94"/>
    </row>
    <row r="28" spans="2:85" ht="15" customHeight="1" x14ac:dyDescent="0.2">
      <c r="B28" s="76"/>
      <c r="C28" s="112"/>
      <c r="D28" s="110"/>
      <c r="E28" s="110"/>
      <c r="F28" s="114"/>
      <c r="G28" s="77"/>
      <c r="H28" s="77"/>
      <c r="I28" s="77"/>
      <c r="J28" s="77"/>
      <c r="K28" s="119"/>
      <c r="L28" s="118"/>
      <c r="M28" s="77"/>
      <c r="N28" s="156" t="s">
        <v>247</v>
      </c>
      <c r="O28" s="120"/>
      <c r="P28" s="84"/>
      <c r="Q28" s="84" t="s">
        <v>0</v>
      </c>
      <c r="R28" s="84"/>
      <c r="S28" s="77"/>
      <c r="T28" s="77"/>
      <c r="U28" s="77"/>
      <c r="V28" s="77"/>
      <c r="W28" s="77"/>
      <c r="X28" s="77"/>
      <c r="Y28" s="77"/>
      <c r="Z28" s="77"/>
      <c r="AA28" s="77"/>
      <c r="AB28" s="112"/>
      <c r="AC28" s="110"/>
      <c r="AD28" s="110"/>
      <c r="AE28" s="114"/>
      <c r="AF28" s="79"/>
      <c r="CF28" s="94"/>
      <c r="CG28" s="94"/>
    </row>
    <row r="29" spans="2:85" ht="15" customHeight="1" x14ac:dyDescent="0.2">
      <c r="B29" s="76"/>
      <c r="C29" s="121"/>
      <c r="D29" s="122"/>
      <c r="E29" s="122"/>
      <c r="F29" s="123"/>
      <c r="G29" s="77"/>
      <c r="H29" s="77"/>
      <c r="I29" s="77"/>
      <c r="J29" s="77"/>
      <c r="K29" s="119"/>
      <c r="L29" s="118"/>
      <c r="M29" s="77"/>
      <c r="N29" s="156" t="s">
        <v>248</v>
      </c>
      <c r="O29" s="120"/>
      <c r="P29" s="84"/>
      <c r="Q29" s="84" t="s">
        <v>0</v>
      </c>
      <c r="R29" s="84"/>
      <c r="S29" s="77"/>
      <c r="T29" s="77"/>
      <c r="U29" s="77"/>
      <c r="V29" s="77"/>
      <c r="W29" s="77"/>
      <c r="X29" s="77"/>
      <c r="Y29" s="77"/>
      <c r="Z29" s="77"/>
      <c r="AA29" s="77"/>
      <c r="AB29" s="121"/>
      <c r="AC29" s="122"/>
      <c r="AD29" s="122"/>
      <c r="AE29" s="123"/>
      <c r="AF29" s="79"/>
      <c r="CF29" s="94"/>
      <c r="CG29" s="94"/>
    </row>
    <row r="30" spans="2:85" ht="15" customHeight="1" x14ac:dyDescent="0.2">
      <c r="B30" s="76"/>
      <c r="C30" s="77"/>
      <c r="D30" s="77"/>
      <c r="E30" s="77"/>
      <c r="F30" s="77"/>
      <c r="G30" s="77"/>
      <c r="H30" s="77"/>
      <c r="I30" s="77"/>
      <c r="J30" s="77"/>
      <c r="K30" s="78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9"/>
      <c r="CF30" s="94"/>
      <c r="CG30" s="94"/>
    </row>
    <row r="31" spans="2:85" ht="15" customHeight="1" x14ac:dyDescent="0.2">
      <c r="B31" s="76"/>
      <c r="C31" s="185" t="s">
        <v>272</v>
      </c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77"/>
      <c r="R31" s="185" t="s">
        <v>271</v>
      </c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79"/>
      <c r="CF31" s="94"/>
      <c r="CG31" s="94"/>
    </row>
    <row r="32" spans="2:85" ht="15" customHeight="1" x14ac:dyDescent="0.2">
      <c r="B32" s="76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101"/>
      <c r="AC32" s="96"/>
      <c r="AD32" s="96"/>
      <c r="AE32" s="96"/>
      <c r="AF32" s="79"/>
      <c r="CF32" s="94"/>
      <c r="CG32" s="94"/>
    </row>
    <row r="33" spans="2:85" ht="15" customHeight="1" x14ac:dyDescent="0.2">
      <c r="B33" s="76"/>
      <c r="C33" s="105"/>
      <c r="D33" s="106" t="str">
        <f>D23</f>
        <v>Spiel</v>
      </c>
      <c r="E33" s="106" t="s">
        <v>8</v>
      </c>
      <c r="F33" s="107">
        <v>3</v>
      </c>
      <c r="G33" s="108"/>
      <c r="H33" s="59" t="str">
        <f>IF(ISNA(VLOOKUP(F33,Gruppenphase!$V$96:$X$103,3,FALSE)),"",VLOOKUP(F33,Gruppenphase!$V$96:$X$103,3,FALSE))</f>
        <v/>
      </c>
      <c r="I33" s="77"/>
      <c r="J33" s="84"/>
      <c r="K33" s="84" t="s">
        <v>0</v>
      </c>
      <c r="L33" s="84"/>
      <c r="M33" s="77"/>
      <c r="N33" s="10" t="str">
        <f>Z33</f>
        <v/>
      </c>
      <c r="O33" s="77"/>
      <c r="P33" s="77"/>
      <c r="Q33" s="77"/>
      <c r="R33" s="77"/>
      <c r="S33" s="77"/>
      <c r="T33" s="55" t="str">
        <f>H33</f>
        <v/>
      </c>
      <c r="U33" s="77"/>
      <c r="V33" s="84"/>
      <c r="W33" s="84" t="s">
        <v>0</v>
      </c>
      <c r="X33" s="84"/>
      <c r="Y33" s="77"/>
      <c r="Z33" s="60" t="str">
        <f>IF(ISNA(VLOOKUP(AE33,Gruppenphase!$V$86:$X$93,3,FALSE)),"",VLOOKUP(AE33,Gruppenphase!$V$86:$X$93,3,FALSE))</f>
        <v/>
      </c>
      <c r="AA33" s="110"/>
      <c r="AB33" s="110"/>
      <c r="AC33" s="106" t="str">
        <f>AC23</f>
        <v>Spiel</v>
      </c>
      <c r="AD33" s="106" t="s">
        <v>8</v>
      </c>
      <c r="AE33" s="111">
        <f>F33</f>
        <v>3</v>
      </c>
      <c r="AF33" s="79"/>
      <c r="CF33" s="94"/>
      <c r="CG33" s="94"/>
    </row>
    <row r="34" spans="2:85" ht="15" customHeight="1" x14ac:dyDescent="0.2">
      <c r="B34" s="76"/>
      <c r="C34" s="112"/>
      <c r="D34" s="110" t="str">
        <f>D24</f>
        <v>Datum</v>
      </c>
      <c r="E34" s="110" t="s">
        <v>8</v>
      </c>
      <c r="F34" s="113"/>
      <c r="G34" s="77"/>
      <c r="H34" s="77"/>
      <c r="I34" s="77"/>
      <c r="J34" s="77"/>
      <c r="K34" s="78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112"/>
      <c r="AC34" s="110" t="str">
        <f>AC24</f>
        <v>Datum</v>
      </c>
      <c r="AD34" s="110" t="s">
        <v>8</v>
      </c>
      <c r="AE34" s="113"/>
      <c r="AF34" s="79"/>
      <c r="CF34" s="94"/>
      <c r="CG34" s="94"/>
    </row>
    <row r="35" spans="2:85" ht="15" customHeight="1" x14ac:dyDescent="0.2">
      <c r="B35" s="76"/>
      <c r="C35" s="112"/>
      <c r="D35" s="110" t="str">
        <f>D25</f>
        <v>Zeit</v>
      </c>
      <c r="E35" s="110" t="s">
        <v>8</v>
      </c>
      <c r="F35" s="114"/>
      <c r="G35" s="77"/>
      <c r="H35" s="115"/>
      <c r="I35" s="115"/>
      <c r="J35" s="115"/>
      <c r="K35" s="97"/>
      <c r="L35" s="115"/>
      <c r="M35" s="115"/>
      <c r="N35" s="115" t="s">
        <v>287</v>
      </c>
      <c r="O35" s="115" t="s">
        <v>8</v>
      </c>
      <c r="P35" s="47" t="str">
        <f>IF(AND(P36&lt;&gt;"",R36&lt;&gt;""),IF(P36&gt;R36,N36&amp;" win",IF(R36&gt;P36,T36&amp;" win",IF(AND(P36=R36,L33&gt;V33),T36&amp;" win on away goals",IF(AND(P36=R36,L33&lt;V33),N36&amp;" win on away goals","")))),"")</f>
        <v/>
      </c>
      <c r="Q35" s="47"/>
      <c r="R35" s="47"/>
      <c r="S35" s="115"/>
      <c r="T35" s="115"/>
      <c r="U35" s="115"/>
      <c r="V35" s="115"/>
      <c r="W35" s="115"/>
      <c r="X35" s="115"/>
      <c r="Y35" s="115"/>
      <c r="Z35" s="115"/>
      <c r="AA35" s="77"/>
      <c r="AB35" s="112"/>
      <c r="AC35" s="110" t="str">
        <f>AC25</f>
        <v>Zeit</v>
      </c>
      <c r="AD35" s="110" t="s">
        <v>8</v>
      </c>
      <c r="AE35" s="116"/>
      <c r="AF35" s="79"/>
      <c r="CF35" s="94"/>
      <c r="CG35" s="94"/>
    </row>
    <row r="36" spans="2:85" ht="15" customHeight="1" x14ac:dyDescent="0.2">
      <c r="B36" s="76"/>
      <c r="C36" s="112"/>
      <c r="D36" s="110" t="str">
        <f>D26</f>
        <v>Stadion</v>
      </c>
      <c r="E36" s="110" t="s">
        <v>8</v>
      </c>
      <c r="F36" s="116" t="str">
        <f>IF(H33&lt;&gt;"",VLOOKUP(H33,'Club Namen'!$B$3:$C$34,2,FALSE),"")</f>
        <v/>
      </c>
      <c r="G36" s="77"/>
      <c r="H36" s="77"/>
      <c r="I36" s="77"/>
      <c r="J36" s="78"/>
      <c r="K36" s="117"/>
      <c r="L36" s="118"/>
      <c r="M36" s="78" t="e">
        <f>IF(SUM(#REF!)=12,#REF!,"Group A Winner")</f>
        <v>#REF!</v>
      </c>
      <c r="N36" s="55" t="str">
        <f>H33</f>
        <v/>
      </c>
      <c r="O36" s="96"/>
      <c r="P36" s="11" t="str">
        <f>IF(P37="","",IF(AND(P37=R37,P37&lt;&gt;"",R37&lt;&gt;""),IF(AND(L33=V33,J33=X33),IF(AND(P38=R38,P38&lt;&gt;"",R38&lt;&gt;""),IF(AND(P39=R39,P39&lt;&gt;"",R39&lt;&gt;""),"",P37+P38+P39),P37+P38),P37),P37))</f>
        <v/>
      </c>
      <c r="Q36" s="23" t="s">
        <v>0</v>
      </c>
      <c r="R36" s="11" t="str">
        <f>IF(R37="","",IF(AND(P37=R37,P37&lt;&gt;"",R37&lt;&gt;""),IF(AND(L33=V33,J33=X33),IF(AND(P38=R38,P38&lt;&gt;"",R38&lt;&gt;""),IF(AND(P39=R39,P39&lt;&gt;"",R39&lt;&gt;""),"",R37+R38+R39),R37+R38),R37),R37))</f>
        <v/>
      </c>
      <c r="S36" s="96"/>
      <c r="T36" s="31" t="str">
        <f>Z33</f>
        <v/>
      </c>
      <c r="U36" s="77"/>
      <c r="V36" s="77"/>
      <c r="W36" s="77"/>
      <c r="X36" s="77"/>
      <c r="Y36" s="77"/>
      <c r="Z36" s="77"/>
      <c r="AA36" s="77"/>
      <c r="AB36" s="112"/>
      <c r="AC36" s="110" t="str">
        <f>AC26</f>
        <v>Stadion</v>
      </c>
      <c r="AD36" s="110" t="s">
        <v>8</v>
      </c>
      <c r="AE36" s="116" t="str">
        <f>IF(Z33&lt;&gt;"",VLOOKUP(Z33,'Club Namen'!$B$3:$C$34,2,FALSE),"")</f>
        <v/>
      </c>
      <c r="AF36" s="79"/>
      <c r="CF36" s="94"/>
      <c r="CG36" s="94"/>
    </row>
    <row r="37" spans="2:85" ht="15" customHeight="1" x14ac:dyDescent="0.2">
      <c r="B37" s="76"/>
      <c r="C37" s="112"/>
      <c r="D37" s="110"/>
      <c r="E37" s="110"/>
      <c r="F37" s="116" t="str">
        <f>IF(H33&lt;&gt;"",VLOOKUP(H33,'Club Namen'!$B$3:$D$34,3,FALSE),"")</f>
        <v/>
      </c>
      <c r="G37" s="77"/>
      <c r="H37" s="77"/>
      <c r="I37" s="77"/>
      <c r="J37" s="77"/>
      <c r="K37" s="119"/>
      <c r="L37" s="118"/>
      <c r="M37" s="77"/>
      <c r="N37" s="156" t="s">
        <v>246</v>
      </c>
      <c r="O37" s="120"/>
      <c r="P37" s="23" t="str">
        <f>IF(AND(J33&lt;&gt;"",V33&lt;&gt;""),J33+V33,"")</f>
        <v/>
      </c>
      <c r="Q37" s="23" t="s">
        <v>0</v>
      </c>
      <c r="R37" s="23" t="str">
        <f>IF(AND(L33&lt;&gt;"",X33&lt;&gt;""),L33+X33,"")</f>
        <v/>
      </c>
      <c r="S37" s="77"/>
      <c r="T37" s="77"/>
      <c r="U37" s="77"/>
      <c r="V37" s="77"/>
      <c r="W37" s="77"/>
      <c r="X37" s="77"/>
      <c r="Y37" s="77"/>
      <c r="Z37" s="77"/>
      <c r="AA37" s="77"/>
      <c r="AB37" s="112"/>
      <c r="AC37" s="110"/>
      <c r="AD37" s="110"/>
      <c r="AE37" s="116" t="str">
        <f>IF(Z33&lt;&gt;"",VLOOKUP(Z33,'Club Namen'!$B$3:$D$34,3,FALSE),"")</f>
        <v/>
      </c>
      <c r="AF37" s="79"/>
      <c r="CF37" s="94"/>
      <c r="CG37" s="94"/>
    </row>
    <row r="38" spans="2:85" ht="15" customHeight="1" x14ac:dyDescent="0.2">
      <c r="B38" s="76"/>
      <c r="C38" s="112"/>
      <c r="D38" s="110"/>
      <c r="E38" s="110"/>
      <c r="F38" s="114"/>
      <c r="G38" s="77"/>
      <c r="H38" s="77"/>
      <c r="I38" s="77"/>
      <c r="J38" s="77"/>
      <c r="K38" s="119"/>
      <c r="L38" s="118"/>
      <c r="M38" s="77"/>
      <c r="N38" s="156" t="s">
        <v>247</v>
      </c>
      <c r="O38" s="120"/>
      <c r="P38" s="84"/>
      <c r="Q38" s="84" t="s">
        <v>0</v>
      </c>
      <c r="R38" s="84"/>
      <c r="S38" s="77"/>
      <c r="T38" s="77"/>
      <c r="U38" s="77"/>
      <c r="V38" s="77"/>
      <c r="W38" s="77"/>
      <c r="X38" s="77"/>
      <c r="Y38" s="77"/>
      <c r="Z38" s="77"/>
      <c r="AA38" s="77"/>
      <c r="AB38" s="112"/>
      <c r="AC38" s="110"/>
      <c r="AD38" s="110"/>
      <c r="AE38" s="114"/>
      <c r="AF38" s="79"/>
      <c r="CF38" s="94"/>
      <c r="CG38" s="94"/>
    </row>
    <row r="39" spans="2:85" ht="15" customHeight="1" x14ac:dyDescent="0.2">
      <c r="B39" s="76"/>
      <c r="C39" s="121"/>
      <c r="D39" s="122"/>
      <c r="E39" s="122"/>
      <c r="F39" s="123"/>
      <c r="G39" s="77"/>
      <c r="H39" s="77"/>
      <c r="I39" s="77"/>
      <c r="J39" s="77"/>
      <c r="K39" s="119"/>
      <c r="L39" s="118"/>
      <c r="M39" s="77"/>
      <c r="N39" s="156" t="s">
        <v>248</v>
      </c>
      <c r="O39" s="120"/>
      <c r="P39" s="84"/>
      <c r="Q39" s="84" t="s">
        <v>0</v>
      </c>
      <c r="R39" s="84"/>
      <c r="S39" s="77"/>
      <c r="T39" s="77"/>
      <c r="U39" s="77"/>
      <c r="V39" s="77"/>
      <c r="W39" s="77"/>
      <c r="X39" s="77"/>
      <c r="Y39" s="77"/>
      <c r="Z39" s="77"/>
      <c r="AA39" s="77"/>
      <c r="AB39" s="121"/>
      <c r="AC39" s="122"/>
      <c r="AD39" s="122"/>
      <c r="AE39" s="123"/>
      <c r="AF39" s="79"/>
      <c r="CF39" s="94"/>
      <c r="CG39" s="94"/>
    </row>
    <row r="40" spans="2:85" ht="15" customHeight="1" x14ac:dyDescent="0.2">
      <c r="B40" s="76"/>
      <c r="C40" s="77"/>
      <c r="D40" s="77"/>
      <c r="E40" s="77"/>
      <c r="F40" s="77"/>
      <c r="G40" s="77"/>
      <c r="H40" s="77"/>
      <c r="I40" s="77"/>
      <c r="J40" s="77"/>
      <c r="K40" s="78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9"/>
      <c r="CF40" s="94"/>
      <c r="CG40" s="94"/>
    </row>
    <row r="41" spans="2:85" ht="15" customHeight="1" x14ac:dyDescent="0.2">
      <c r="B41" s="76"/>
      <c r="C41" s="185" t="s">
        <v>272</v>
      </c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77"/>
      <c r="R41" s="185" t="s">
        <v>271</v>
      </c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5"/>
      <c r="AE41" s="185"/>
      <c r="AF41" s="79"/>
      <c r="CF41" s="94"/>
      <c r="CG41" s="94"/>
    </row>
    <row r="42" spans="2:85" ht="15" customHeight="1" x14ac:dyDescent="0.2">
      <c r="B42" s="76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101"/>
      <c r="AC42" s="96"/>
      <c r="AD42" s="96"/>
      <c r="AE42" s="96"/>
      <c r="AF42" s="79"/>
      <c r="CF42" s="94"/>
      <c r="CG42" s="94"/>
    </row>
    <row r="43" spans="2:85" ht="15" customHeight="1" x14ac:dyDescent="0.2">
      <c r="B43" s="76"/>
      <c r="C43" s="105"/>
      <c r="D43" s="106" t="str">
        <f>D33</f>
        <v>Spiel</v>
      </c>
      <c r="E43" s="106" t="s">
        <v>8</v>
      </c>
      <c r="F43" s="107">
        <v>4</v>
      </c>
      <c r="G43" s="108"/>
      <c r="H43" s="59" t="str">
        <f>IF(ISNA(VLOOKUP(F43,Gruppenphase!$V$96:$X$103,3,FALSE)),"",VLOOKUP(F43,Gruppenphase!$V$96:$X$103,3,FALSE))</f>
        <v/>
      </c>
      <c r="I43" s="77"/>
      <c r="J43" s="84"/>
      <c r="K43" s="84" t="s">
        <v>0</v>
      </c>
      <c r="L43" s="84"/>
      <c r="M43" s="77"/>
      <c r="N43" s="10" t="str">
        <f>Z43</f>
        <v/>
      </c>
      <c r="O43" s="77"/>
      <c r="P43" s="77"/>
      <c r="Q43" s="77"/>
      <c r="R43" s="77"/>
      <c r="S43" s="77"/>
      <c r="T43" s="55" t="str">
        <f>H43</f>
        <v/>
      </c>
      <c r="U43" s="77"/>
      <c r="V43" s="84"/>
      <c r="W43" s="84" t="s">
        <v>0</v>
      </c>
      <c r="X43" s="84"/>
      <c r="Y43" s="77"/>
      <c r="Z43" s="60" t="str">
        <f>IF(ISNA(VLOOKUP(AE43,Gruppenphase!$V$86:$X$93,3,FALSE)),"",VLOOKUP(AE43,Gruppenphase!$V$86:$X$93,3,FALSE))</f>
        <v/>
      </c>
      <c r="AA43" s="110"/>
      <c r="AB43" s="110"/>
      <c r="AC43" s="106" t="str">
        <f>AC33</f>
        <v>Spiel</v>
      </c>
      <c r="AD43" s="106" t="s">
        <v>8</v>
      </c>
      <c r="AE43" s="111">
        <f>F43</f>
        <v>4</v>
      </c>
      <c r="AF43" s="79"/>
      <c r="CF43" s="94"/>
      <c r="CG43" s="94"/>
    </row>
    <row r="44" spans="2:85" ht="15" customHeight="1" x14ac:dyDescent="0.2">
      <c r="B44" s="76"/>
      <c r="C44" s="112"/>
      <c r="D44" s="110" t="str">
        <f>D34</f>
        <v>Datum</v>
      </c>
      <c r="E44" s="110" t="s">
        <v>8</v>
      </c>
      <c r="F44" s="113"/>
      <c r="G44" s="77"/>
      <c r="H44" s="77"/>
      <c r="I44" s="77"/>
      <c r="J44" s="77"/>
      <c r="K44" s="78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112"/>
      <c r="AC44" s="110" t="str">
        <f>AC34</f>
        <v>Datum</v>
      </c>
      <c r="AD44" s="110" t="s">
        <v>8</v>
      </c>
      <c r="AE44" s="113"/>
      <c r="AF44" s="79"/>
      <c r="CF44" s="94"/>
      <c r="CG44" s="94"/>
    </row>
    <row r="45" spans="2:85" ht="15" customHeight="1" x14ac:dyDescent="0.2">
      <c r="B45" s="76"/>
      <c r="C45" s="112"/>
      <c r="D45" s="110" t="str">
        <f>D35</f>
        <v>Zeit</v>
      </c>
      <c r="E45" s="110" t="s">
        <v>8</v>
      </c>
      <c r="F45" s="114"/>
      <c r="G45" s="77"/>
      <c r="H45" s="115"/>
      <c r="I45" s="115"/>
      <c r="J45" s="115"/>
      <c r="K45" s="97"/>
      <c r="L45" s="115"/>
      <c r="M45" s="115"/>
      <c r="N45" s="115" t="s">
        <v>287</v>
      </c>
      <c r="O45" s="115" t="s">
        <v>8</v>
      </c>
      <c r="P45" s="47" t="str">
        <f>IF(AND(P46&lt;&gt;"",R46&lt;&gt;""),IF(P46&gt;R46,N46&amp;" win",IF(R46&gt;P46,T46&amp;" win",IF(AND(P46=R46,L43&gt;V43),T46&amp;" win on away goals",IF(AND(P46=R46,L43&lt;V43),N46&amp;" win on away goals","")))),"")</f>
        <v/>
      </c>
      <c r="Q45" s="47"/>
      <c r="R45" s="47"/>
      <c r="S45" s="115"/>
      <c r="T45" s="115"/>
      <c r="U45" s="115"/>
      <c r="V45" s="115"/>
      <c r="W45" s="115"/>
      <c r="X45" s="115"/>
      <c r="Y45" s="115"/>
      <c r="Z45" s="115"/>
      <c r="AA45" s="77"/>
      <c r="AB45" s="112"/>
      <c r="AC45" s="110" t="str">
        <f>AC35</f>
        <v>Zeit</v>
      </c>
      <c r="AD45" s="110" t="s">
        <v>8</v>
      </c>
      <c r="AE45" s="116"/>
      <c r="AF45" s="79"/>
      <c r="CF45" s="94"/>
      <c r="CG45" s="94"/>
    </row>
    <row r="46" spans="2:85" ht="15" customHeight="1" x14ac:dyDescent="0.2">
      <c r="B46" s="76"/>
      <c r="C46" s="112"/>
      <c r="D46" s="110" t="str">
        <f>D36</f>
        <v>Stadion</v>
      </c>
      <c r="E46" s="110" t="s">
        <v>8</v>
      </c>
      <c r="F46" s="116" t="str">
        <f>IF(H43&lt;&gt;"",VLOOKUP(H43,'Club Namen'!$B$3:$C$34,2,FALSE),"")</f>
        <v/>
      </c>
      <c r="G46" s="77"/>
      <c r="H46" s="77"/>
      <c r="I46" s="77"/>
      <c r="J46" s="78"/>
      <c r="K46" s="117"/>
      <c r="L46" s="118"/>
      <c r="M46" s="78" t="e">
        <f>IF(SUM(#REF!)=12,#REF!,"Group A Winner")</f>
        <v>#REF!</v>
      </c>
      <c r="N46" s="55" t="str">
        <f>H43</f>
        <v/>
      </c>
      <c r="O46" s="96"/>
      <c r="P46" s="11" t="str">
        <f>IF(P47="","",IF(AND(P47=R47,P47&lt;&gt;"",R47&lt;&gt;""),IF(AND(L43=V43,J43=X43),IF(AND(P48=R48,P48&lt;&gt;"",R48&lt;&gt;""),IF(AND(P49=R49,P49&lt;&gt;"",R49&lt;&gt;""),"",P47+P48+P49),P47+P48),P47),P47))</f>
        <v/>
      </c>
      <c r="Q46" s="23" t="s">
        <v>0</v>
      </c>
      <c r="R46" s="11" t="str">
        <f>IF(R47="","",IF(AND(P47=R47,P47&lt;&gt;"",R47&lt;&gt;""),IF(AND(L43=V43,J43=X43),IF(AND(P48=R48,P48&lt;&gt;"",R48&lt;&gt;""),IF(AND(P49=R49,P49&lt;&gt;"",R49&lt;&gt;""),"",R47+R48+R49),R47+R48),R47),R47))</f>
        <v/>
      </c>
      <c r="S46" s="96"/>
      <c r="T46" s="31" t="str">
        <f>Z43</f>
        <v/>
      </c>
      <c r="U46" s="77"/>
      <c r="V46" s="77"/>
      <c r="W46" s="77"/>
      <c r="X46" s="77"/>
      <c r="Y46" s="77"/>
      <c r="Z46" s="77"/>
      <c r="AA46" s="77"/>
      <c r="AB46" s="112"/>
      <c r="AC46" s="110" t="str">
        <f>AC36</f>
        <v>Stadion</v>
      </c>
      <c r="AD46" s="110" t="s">
        <v>8</v>
      </c>
      <c r="AE46" s="116" t="str">
        <f>IF(Z43&lt;&gt;"",VLOOKUP(Z43,'Club Namen'!$B$3:$C$34,2,FALSE),"")</f>
        <v/>
      </c>
      <c r="AF46" s="79"/>
      <c r="CF46" s="94"/>
      <c r="CG46" s="94"/>
    </row>
    <row r="47" spans="2:85" ht="15" customHeight="1" x14ac:dyDescent="0.2">
      <c r="B47" s="76"/>
      <c r="C47" s="112"/>
      <c r="D47" s="110"/>
      <c r="E47" s="110"/>
      <c r="F47" s="116" t="str">
        <f>IF(H43&lt;&gt;"",VLOOKUP(H43,'Club Namen'!$B$3:$D$34,3,FALSE),"")</f>
        <v/>
      </c>
      <c r="G47" s="77"/>
      <c r="H47" s="77"/>
      <c r="I47" s="77"/>
      <c r="J47" s="77"/>
      <c r="K47" s="119"/>
      <c r="L47" s="118"/>
      <c r="M47" s="77"/>
      <c r="N47" s="156" t="s">
        <v>246</v>
      </c>
      <c r="O47" s="120"/>
      <c r="P47" s="23" t="str">
        <f>IF(AND(J43&lt;&gt;"",V43&lt;&gt;""),J43+V43,"")</f>
        <v/>
      </c>
      <c r="Q47" s="23" t="s">
        <v>0</v>
      </c>
      <c r="R47" s="23" t="str">
        <f>IF(AND(L43&lt;&gt;"",X43&lt;&gt;""),L43+X43,"")</f>
        <v/>
      </c>
      <c r="S47" s="77"/>
      <c r="T47" s="77"/>
      <c r="U47" s="77"/>
      <c r="V47" s="77"/>
      <c r="W47" s="77"/>
      <c r="X47" s="77"/>
      <c r="Y47" s="77"/>
      <c r="Z47" s="77"/>
      <c r="AA47" s="77"/>
      <c r="AB47" s="112"/>
      <c r="AC47" s="110"/>
      <c r="AD47" s="110"/>
      <c r="AE47" s="116" t="str">
        <f>IF(Z43&lt;&gt;"",VLOOKUP(Z43,'Club Namen'!$B$3:$D$34,3,FALSE),"")</f>
        <v/>
      </c>
      <c r="AF47" s="79"/>
      <c r="CF47" s="94"/>
      <c r="CG47" s="94"/>
    </row>
    <row r="48" spans="2:85" ht="15" customHeight="1" x14ac:dyDescent="0.2">
      <c r="B48" s="76"/>
      <c r="C48" s="112"/>
      <c r="D48" s="110"/>
      <c r="E48" s="110"/>
      <c r="F48" s="114"/>
      <c r="G48" s="77"/>
      <c r="H48" s="77"/>
      <c r="I48" s="77"/>
      <c r="J48" s="77"/>
      <c r="K48" s="119"/>
      <c r="L48" s="118"/>
      <c r="M48" s="77"/>
      <c r="N48" s="156" t="s">
        <v>247</v>
      </c>
      <c r="O48" s="120"/>
      <c r="P48" s="84"/>
      <c r="Q48" s="84" t="s">
        <v>0</v>
      </c>
      <c r="R48" s="84"/>
      <c r="S48" s="77"/>
      <c r="T48" s="77"/>
      <c r="U48" s="77"/>
      <c r="V48" s="77"/>
      <c r="W48" s="77"/>
      <c r="X48" s="77"/>
      <c r="Y48" s="77"/>
      <c r="Z48" s="77"/>
      <c r="AA48" s="77"/>
      <c r="AB48" s="112"/>
      <c r="AC48" s="110"/>
      <c r="AD48" s="110"/>
      <c r="AE48" s="114"/>
      <c r="AF48" s="79"/>
      <c r="CF48" s="94"/>
      <c r="CG48" s="94"/>
    </row>
    <row r="49" spans="2:85" ht="15" customHeight="1" x14ac:dyDescent="0.2">
      <c r="B49" s="76"/>
      <c r="C49" s="121"/>
      <c r="D49" s="122"/>
      <c r="E49" s="122"/>
      <c r="F49" s="123"/>
      <c r="G49" s="77"/>
      <c r="H49" s="77"/>
      <c r="I49" s="77"/>
      <c r="J49" s="77"/>
      <c r="K49" s="119"/>
      <c r="L49" s="118"/>
      <c r="M49" s="77"/>
      <c r="N49" s="156" t="s">
        <v>248</v>
      </c>
      <c r="O49" s="120"/>
      <c r="P49" s="84"/>
      <c r="Q49" s="84" t="s">
        <v>0</v>
      </c>
      <c r="R49" s="84"/>
      <c r="S49" s="77"/>
      <c r="T49" s="77"/>
      <c r="U49" s="77"/>
      <c r="V49" s="77"/>
      <c r="W49" s="77"/>
      <c r="X49" s="77"/>
      <c r="Y49" s="77"/>
      <c r="Z49" s="77"/>
      <c r="AA49" s="77"/>
      <c r="AB49" s="121"/>
      <c r="AC49" s="122"/>
      <c r="AD49" s="122"/>
      <c r="AE49" s="123"/>
      <c r="AF49" s="79"/>
      <c r="CF49" s="94"/>
      <c r="CG49" s="94"/>
    </row>
    <row r="50" spans="2:85" ht="15" customHeight="1" x14ac:dyDescent="0.2">
      <c r="B50" s="76"/>
      <c r="C50" s="77"/>
      <c r="D50" s="77"/>
      <c r="E50" s="77"/>
      <c r="F50" s="77"/>
      <c r="G50" s="77"/>
      <c r="H50" s="77"/>
      <c r="I50" s="77"/>
      <c r="J50" s="77"/>
      <c r="K50" s="78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9"/>
      <c r="CF50" s="94"/>
      <c r="CG50" s="94"/>
    </row>
    <row r="51" spans="2:85" ht="15" customHeight="1" x14ac:dyDescent="0.2">
      <c r="B51" s="76"/>
      <c r="C51" s="185" t="s">
        <v>272</v>
      </c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77"/>
      <c r="R51" s="185" t="s">
        <v>271</v>
      </c>
      <c r="S51" s="185"/>
      <c r="T51" s="185"/>
      <c r="U51" s="185"/>
      <c r="V51" s="185"/>
      <c r="W51" s="185"/>
      <c r="X51" s="185"/>
      <c r="Y51" s="185"/>
      <c r="Z51" s="185"/>
      <c r="AA51" s="185"/>
      <c r="AB51" s="185"/>
      <c r="AC51" s="185"/>
      <c r="AD51" s="185"/>
      <c r="AE51" s="185"/>
      <c r="AF51" s="79"/>
      <c r="CF51" s="94"/>
      <c r="CG51" s="94"/>
    </row>
    <row r="52" spans="2:85" ht="15" customHeight="1" x14ac:dyDescent="0.2">
      <c r="B52" s="76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101"/>
      <c r="AC52" s="96"/>
      <c r="AD52" s="96"/>
      <c r="AE52" s="96"/>
      <c r="AF52" s="79"/>
      <c r="CF52" s="94"/>
      <c r="CG52" s="94"/>
    </row>
    <row r="53" spans="2:85" ht="15" customHeight="1" x14ac:dyDescent="0.2">
      <c r="B53" s="76"/>
      <c r="C53" s="105"/>
      <c r="D53" s="106" t="str">
        <f>D43</f>
        <v>Spiel</v>
      </c>
      <c r="E53" s="106" t="s">
        <v>8</v>
      </c>
      <c r="F53" s="107">
        <v>5</v>
      </c>
      <c r="G53" s="108"/>
      <c r="H53" s="59" t="str">
        <f>IF(ISNA(VLOOKUP(F53,Gruppenphase!$V$96:$X$103,3,FALSE)),"",VLOOKUP(F53,Gruppenphase!$V$96:$X$103,3,FALSE))</f>
        <v/>
      </c>
      <c r="I53" s="77"/>
      <c r="J53" s="84"/>
      <c r="K53" s="84" t="s">
        <v>0</v>
      </c>
      <c r="L53" s="84"/>
      <c r="M53" s="77"/>
      <c r="N53" s="10" t="str">
        <f>Z53</f>
        <v/>
      </c>
      <c r="O53" s="77"/>
      <c r="P53" s="77"/>
      <c r="Q53" s="77"/>
      <c r="R53" s="77"/>
      <c r="S53" s="77"/>
      <c r="T53" s="55" t="str">
        <f>H53</f>
        <v/>
      </c>
      <c r="U53" s="77"/>
      <c r="V53" s="84"/>
      <c r="W53" s="84" t="s">
        <v>0</v>
      </c>
      <c r="X53" s="84"/>
      <c r="Y53" s="77"/>
      <c r="Z53" s="60" t="str">
        <f>IF(ISNA(VLOOKUP(AE53,Gruppenphase!$V$86:$X$93,3,FALSE)),"",VLOOKUP(AE53,Gruppenphase!$V$86:$X$93,3,FALSE))</f>
        <v/>
      </c>
      <c r="AA53" s="110"/>
      <c r="AB53" s="110"/>
      <c r="AC53" s="106" t="str">
        <f>AC43</f>
        <v>Spiel</v>
      </c>
      <c r="AD53" s="106" t="s">
        <v>8</v>
      </c>
      <c r="AE53" s="111">
        <f>F53</f>
        <v>5</v>
      </c>
      <c r="AF53" s="79"/>
      <c r="CF53" s="94"/>
      <c r="CG53" s="94"/>
    </row>
    <row r="54" spans="2:85" ht="15" customHeight="1" x14ac:dyDescent="0.2">
      <c r="B54" s="76"/>
      <c r="C54" s="112"/>
      <c r="D54" s="110" t="str">
        <f>D44</f>
        <v>Datum</v>
      </c>
      <c r="E54" s="110" t="s">
        <v>8</v>
      </c>
      <c r="F54" s="113"/>
      <c r="G54" s="77"/>
      <c r="H54" s="77"/>
      <c r="I54" s="77"/>
      <c r="J54" s="77"/>
      <c r="K54" s="78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112"/>
      <c r="AC54" s="110" t="str">
        <f>AC44</f>
        <v>Datum</v>
      </c>
      <c r="AD54" s="110" t="s">
        <v>8</v>
      </c>
      <c r="AE54" s="113"/>
      <c r="AF54" s="79"/>
      <c r="CF54" s="94"/>
      <c r="CG54" s="94"/>
    </row>
    <row r="55" spans="2:85" ht="15" customHeight="1" x14ac:dyDescent="0.2">
      <c r="B55" s="76"/>
      <c r="C55" s="112"/>
      <c r="D55" s="110" t="str">
        <f>D45</f>
        <v>Zeit</v>
      </c>
      <c r="E55" s="110" t="s">
        <v>8</v>
      </c>
      <c r="F55" s="114"/>
      <c r="G55" s="77"/>
      <c r="H55" s="115"/>
      <c r="I55" s="115"/>
      <c r="J55" s="115"/>
      <c r="K55" s="97"/>
      <c r="L55" s="115"/>
      <c r="M55" s="115"/>
      <c r="N55" s="115" t="s">
        <v>287</v>
      </c>
      <c r="O55" s="115" t="s">
        <v>8</v>
      </c>
      <c r="P55" s="47" t="str">
        <f>IF(AND(P56&lt;&gt;"",R56&lt;&gt;""),IF(P56&gt;R56,N56&amp;" win",IF(R56&gt;P56,T56&amp;" win",IF(AND(P56=R56,L53&gt;V53),T56&amp;" win on away goals",IF(AND(P56=R56,L53&lt;V53),N56&amp;" win on away goals","")))),"")</f>
        <v/>
      </c>
      <c r="Q55" s="47"/>
      <c r="R55" s="47"/>
      <c r="S55" s="115"/>
      <c r="T55" s="115"/>
      <c r="U55" s="115"/>
      <c r="V55" s="115"/>
      <c r="W55" s="115"/>
      <c r="X55" s="115"/>
      <c r="Y55" s="115"/>
      <c r="Z55" s="115"/>
      <c r="AA55" s="77"/>
      <c r="AB55" s="112"/>
      <c r="AC55" s="110" t="str">
        <f>AC45</f>
        <v>Zeit</v>
      </c>
      <c r="AD55" s="110" t="s">
        <v>8</v>
      </c>
      <c r="AE55" s="116"/>
      <c r="AF55" s="79"/>
      <c r="CF55" s="94"/>
      <c r="CG55" s="94"/>
    </row>
    <row r="56" spans="2:85" ht="15" customHeight="1" x14ac:dyDescent="0.2">
      <c r="B56" s="76"/>
      <c r="C56" s="112"/>
      <c r="D56" s="110" t="str">
        <f>D46</f>
        <v>Stadion</v>
      </c>
      <c r="E56" s="110" t="s">
        <v>8</v>
      </c>
      <c r="F56" s="116" t="str">
        <f>IF(H53&lt;&gt;"",VLOOKUP(H53,'Club Namen'!$B$3:$C$34,2,FALSE),"")</f>
        <v/>
      </c>
      <c r="G56" s="77"/>
      <c r="H56" s="77"/>
      <c r="I56" s="77"/>
      <c r="J56" s="78"/>
      <c r="K56" s="117"/>
      <c r="L56" s="118"/>
      <c r="M56" s="78" t="e">
        <f>IF(SUM(#REF!)=12,#REF!,"Group A Winner")</f>
        <v>#REF!</v>
      </c>
      <c r="N56" s="55" t="str">
        <f>H53</f>
        <v/>
      </c>
      <c r="O56" s="96"/>
      <c r="P56" s="11" t="str">
        <f>IF(P57="","",IF(AND(P57=R57,P57&lt;&gt;"",R57&lt;&gt;""),IF(AND(L53=V53,J53=X53),IF(AND(P58=R58,P58&lt;&gt;"",R58&lt;&gt;""),IF(AND(P59=R59,P59&lt;&gt;"",R59&lt;&gt;""),"",P57+P58+P59),P57+P58),P57),P57))</f>
        <v/>
      </c>
      <c r="Q56" s="23" t="s">
        <v>0</v>
      </c>
      <c r="R56" s="11" t="str">
        <f>IF(R57="","",IF(AND(P57=R57,P57&lt;&gt;"",R57&lt;&gt;""),IF(AND(L53=V53,J53=X53),IF(AND(P58=R58,P58&lt;&gt;"",R58&lt;&gt;""),IF(AND(P59=R59,P59&lt;&gt;"",R59&lt;&gt;""),"",R57+R58+R59),R57+R58),R57),R57))</f>
        <v/>
      </c>
      <c r="S56" s="96"/>
      <c r="T56" s="31" t="str">
        <f>Z53</f>
        <v/>
      </c>
      <c r="U56" s="77"/>
      <c r="V56" s="77"/>
      <c r="W56" s="77"/>
      <c r="X56" s="77"/>
      <c r="Y56" s="77"/>
      <c r="Z56" s="77"/>
      <c r="AA56" s="77"/>
      <c r="AB56" s="112"/>
      <c r="AC56" s="110" t="str">
        <f>AC46</f>
        <v>Stadion</v>
      </c>
      <c r="AD56" s="110" t="s">
        <v>8</v>
      </c>
      <c r="AE56" s="116" t="str">
        <f>IF(Z53&lt;&gt;"",VLOOKUP(Z53,'Club Namen'!$B$3:$C$34,2,FALSE),"")</f>
        <v/>
      </c>
      <c r="AF56" s="79"/>
      <c r="CF56" s="94"/>
      <c r="CG56" s="94"/>
    </row>
    <row r="57" spans="2:85" ht="15" customHeight="1" x14ac:dyDescent="0.2">
      <c r="B57" s="76"/>
      <c r="C57" s="112"/>
      <c r="D57" s="110"/>
      <c r="E57" s="110"/>
      <c r="F57" s="116" t="str">
        <f>IF(H53&lt;&gt;"",VLOOKUP(H53,'Club Namen'!$B$3:$D$34,3,FALSE),"")</f>
        <v/>
      </c>
      <c r="G57" s="77"/>
      <c r="H57" s="77"/>
      <c r="I57" s="77"/>
      <c r="J57" s="77"/>
      <c r="K57" s="119"/>
      <c r="L57" s="118"/>
      <c r="M57" s="77"/>
      <c r="N57" s="156" t="s">
        <v>246</v>
      </c>
      <c r="O57" s="120"/>
      <c r="P57" s="23" t="str">
        <f>IF(AND(J53&lt;&gt;"",V53&lt;&gt;""),J53+V53,"")</f>
        <v/>
      </c>
      <c r="Q57" s="23" t="s">
        <v>0</v>
      </c>
      <c r="R57" s="23" t="str">
        <f>IF(AND(L53&lt;&gt;"",X53&lt;&gt;""),L53+X53,"")</f>
        <v/>
      </c>
      <c r="S57" s="77"/>
      <c r="T57" s="77"/>
      <c r="U57" s="77"/>
      <c r="V57" s="77"/>
      <c r="W57" s="77"/>
      <c r="X57" s="77"/>
      <c r="Y57" s="77"/>
      <c r="Z57" s="77"/>
      <c r="AA57" s="77"/>
      <c r="AB57" s="112"/>
      <c r="AC57" s="110"/>
      <c r="AD57" s="110"/>
      <c r="AE57" s="116" t="str">
        <f>IF(Z53&lt;&gt;"",VLOOKUP(Z53,'Club Namen'!$B$3:$D$34,3,FALSE),"")</f>
        <v/>
      </c>
      <c r="AF57" s="79"/>
      <c r="CF57" s="94"/>
      <c r="CG57" s="94"/>
    </row>
    <row r="58" spans="2:85" ht="15" customHeight="1" x14ac:dyDescent="0.2">
      <c r="B58" s="76"/>
      <c r="C58" s="112"/>
      <c r="D58" s="110"/>
      <c r="E58" s="110"/>
      <c r="F58" s="114"/>
      <c r="G58" s="77"/>
      <c r="H58" s="77"/>
      <c r="I58" s="77"/>
      <c r="J58" s="77"/>
      <c r="K58" s="119"/>
      <c r="L58" s="118"/>
      <c r="M58" s="77"/>
      <c r="N58" s="156" t="s">
        <v>247</v>
      </c>
      <c r="O58" s="120"/>
      <c r="P58" s="84"/>
      <c r="Q58" s="84" t="s">
        <v>0</v>
      </c>
      <c r="R58" s="84"/>
      <c r="S58" s="77"/>
      <c r="T58" s="77"/>
      <c r="U58" s="77"/>
      <c r="V58" s="77"/>
      <c r="W58" s="77"/>
      <c r="X58" s="77"/>
      <c r="Y58" s="77"/>
      <c r="Z58" s="77"/>
      <c r="AA58" s="77"/>
      <c r="AB58" s="112"/>
      <c r="AC58" s="110"/>
      <c r="AD58" s="110"/>
      <c r="AE58" s="114"/>
      <c r="AF58" s="79"/>
      <c r="CF58" s="94"/>
      <c r="CG58" s="94"/>
    </row>
    <row r="59" spans="2:85" ht="15" customHeight="1" x14ac:dyDescent="0.2">
      <c r="B59" s="76"/>
      <c r="C59" s="121"/>
      <c r="D59" s="122"/>
      <c r="E59" s="122"/>
      <c r="F59" s="123"/>
      <c r="G59" s="77"/>
      <c r="H59" s="77"/>
      <c r="I59" s="77"/>
      <c r="J59" s="77"/>
      <c r="K59" s="119"/>
      <c r="L59" s="118"/>
      <c r="M59" s="77"/>
      <c r="N59" s="156" t="s">
        <v>248</v>
      </c>
      <c r="O59" s="120"/>
      <c r="P59" s="84"/>
      <c r="Q59" s="84" t="s">
        <v>0</v>
      </c>
      <c r="R59" s="84"/>
      <c r="S59" s="77"/>
      <c r="T59" s="77"/>
      <c r="U59" s="77"/>
      <c r="V59" s="77"/>
      <c r="W59" s="77"/>
      <c r="X59" s="77"/>
      <c r="Y59" s="77"/>
      <c r="Z59" s="77"/>
      <c r="AA59" s="77"/>
      <c r="AB59" s="121"/>
      <c r="AC59" s="122"/>
      <c r="AD59" s="122"/>
      <c r="AE59" s="123"/>
      <c r="AF59" s="79"/>
      <c r="CF59" s="94"/>
      <c r="CG59" s="94"/>
    </row>
    <row r="60" spans="2:85" ht="15" customHeight="1" x14ac:dyDescent="0.2">
      <c r="B60" s="76"/>
      <c r="C60" s="77"/>
      <c r="D60" s="77"/>
      <c r="E60" s="77"/>
      <c r="F60" s="77"/>
      <c r="G60" s="77"/>
      <c r="H60" s="77"/>
      <c r="I60" s="77"/>
      <c r="J60" s="77"/>
      <c r="K60" s="78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9"/>
      <c r="CF60" s="94"/>
      <c r="CG60" s="94"/>
    </row>
    <row r="61" spans="2:85" ht="15" customHeight="1" x14ac:dyDescent="0.2">
      <c r="B61" s="76"/>
      <c r="C61" s="185" t="s">
        <v>272</v>
      </c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77"/>
      <c r="R61" s="185" t="s">
        <v>271</v>
      </c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79"/>
      <c r="CF61" s="94"/>
      <c r="CG61" s="94"/>
    </row>
    <row r="62" spans="2:85" ht="15" customHeight="1" x14ac:dyDescent="0.2">
      <c r="B62" s="76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101"/>
      <c r="AC62" s="96"/>
      <c r="AD62" s="96"/>
      <c r="AE62" s="96"/>
      <c r="AF62" s="79"/>
      <c r="CF62" s="94"/>
      <c r="CG62" s="94"/>
    </row>
    <row r="63" spans="2:85" ht="15" customHeight="1" x14ac:dyDescent="0.2">
      <c r="B63" s="76"/>
      <c r="C63" s="105"/>
      <c r="D63" s="106" t="str">
        <f>D53</f>
        <v>Spiel</v>
      </c>
      <c r="E63" s="106" t="s">
        <v>8</v>
      </c>
      <c r="F63" s="107">
        <v>6</v>
      </c>
      <c r="G63" s="108"/>
      <c r="H63" s="59" t="str">
        <f>IF(ISNA(VLOOKUP(F63,Gruppenphase!$V$96:$X$103,3,FALSE)),"",VLOOKUP(F63,Gruppenphase!$V$96:$X$103,3,FALSE))</f>
        <v/>
      </c>
      <c r="I63" s="77"/>
      <c r="J63" s="84"/>
      <c r="K63" s="84" t="s">
        <v>0</v>
      </c>
      <c r="L63" s="84"/>
      <c r="M63" s="77"/>
      <c r="N63" s="10" t="str">
        <f>Z63</f>
        <v/>
      </c>
      <c r="O63" s="77"/>
      <c r="P63" s="77"/>
      <c r="Q63" s="77"/>
      <c r="R63" s="77"/>
      <c r="S63" s="77"/>
      <c r="T63" s="55" t="str">
        <f>H63</f>
        <v/>
      </c>
      <c r="U63" s="77"/>
      <c r="V63" s="84"/>
      <c r="W63" s="84" t="s">
        <v>0</v>
      </c>
      <c r="X63" s="84"/>
      <c r="Y63" s="77"/>
      <c r="Z63" s="60" t="str">
        <f>IF(ISNA(VLOOKUP(AE63,Gruppenphase!$V$86:$X$93,3,FALSE)),"",VLOOKUP(AE63,Gruppenphase!$V$86:$X$93,3,FALSE))</f>
        <v/>
      </c>
      <c r="AA63" s="110"/>
      <c r="AB63" s="110"/>
      <c r="AC63" s="106" t="str">
        <f>AC53</f>
        <v>Spiel</v>
      </c>
      <c r="AD63" s="106" t="s">
        <v>8</v>
      </c>
      <c r="AE63" s="111">
        <f>F63</f>
        <v>6</v>
      </c>
      <c r="AF63" s="79"/>
      <c r="CF63" s="94"/>
      <c r="CG63" s="94"/>
    </row>
    <row r="64" spans="2:85" ht="15" customHeight="1" x14ac:dyDescent="0.2">
      <c r="B64" s="76"/>
      <c r="C64" s="112"/>
      <c r="D64" s="110" t="str">
        <f>D54</f>
        <v>Datum</v>
      </c>
      <c r="E64" s="110" t="s">
        <v>8</v>
      </c>
      <c r="F64" s="113"/>
      <c r="G64" s="77"/>
      <c r="H64" s="77"/>
      <c r="I64" s="77"/>
      <c r="J64" s="77"/>
      <c r="K64" s="78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112"/>
      <c r="AC64" s="110" t="str">
        <f>AC54</f>
        <v>Datum</v>
      </c>
      <c r="AD64" s="110" t="s">
        <v>8</v>
      </c>
      <c r="AE64" s="113"/>
      <c r="AF64" s="79"/>
      <c r="CF64" s="94"/>
      <c r="CG64" s="94"/>
    </row>
    <row r="65" spans="2:85" ht="15" customHeight="1" x14ac:dyDescent="0.2">
      <c r="B65" s="76"/>
      <c r="C65" s="112"/>
      <c r="D65" s="110" t="str">
        <f>D55</f>
        <v>Zeit</v>
      </c>
      <c r="E65" s="110" t="s">
        <v>8</v>
      </c>
      <c r="F65" s="114"/>
      <c r="G65" s="77"/>
      <c r="H65" s="115"/>
      <c r="I65" s="115"/>
      <c r="J65" s="115"/>
      <c r="K65" s="97"/>
      <c r="L65" s="115"/>
      <c r="M65" s="115"/>
      <c r="N65" s="115" t="s">
        <v>287</v>
      </c>
      <c r="O65" s="115" t="s">
        <v>8</v>
      </c>
      <c r="P65" s="47" t="str">
        <f>IF(AND(P66&lt;&gt;"",R66&lt;&gt;""),IF(P66&gt;R66,N66&amp;" win",IF(R66&gt;P66,T66&amp;" win",IF(AND(P66=R66,L63&gt;V63),T66&amp;" win on away goals",IF(AND(P66=R66,L63&lt;V63),N66&amp;" win on away goals","")))),"")</f>
        <v/>
      </c>
      <c r="Q65" s="47"/>
      <c r="R65" s="47"/>
      <c r="S65" s="115"/>
      <c r="T65" s="115"/>
      <c r="U65" s="115"/>
      <c r="V65" s="115"/>
      <c r="W65" s="115"/>
      <c r="X65" s="115"/>
      <c r="Y65" s="115"/>
      <c r="Z65" s="115"/>
      <c r="AA65" s="77"/>
      <c r="AB65" s="112"/>
      <c r="AC65" s="110" t="str">
        <f>AC55</f>
        <v>Zeit</v>
      </c>
      <c r="AD65" s="110" t="s">
        <v>8</v>
      </c>
      <c r="AE65" s="116"/>
      <c r="AF65" s="79"/>
      <c r="CF65" s="94"/>
      <c r="CG65" s="94"/>
    </row>
    <row r="66" spans="2:85" ht="15" customHeight="1" x14ac:dyDescent="0.2">
      <c r="B66" s="76"/>
      <c r="C66" s="112"/>
      <c r="D66" s="110" t="str">
        <f>D56</f>
        <v>Stadion</v>
      </c>
      <c r="E66" s="110" t="s">
        <v>8</v>
      </c>
      <c r="F66" s="116" t="str">
        <f>IF(H63&lt;&gt;"",VLOOKUP(H63,'Club Namen'!$B$3:$C$34,2,FALSE),"")</f>
        <v/>
      </c>
      <c r="G66" s="77"/>
      <c r="H66" s="77"/>
      <c r="I66" s="77"/>
      <c r="J66" s="78"/>
      <c r="K66" s="117"/>
      <c r="L66" s="118"/>
      <c r="M66" s="78" t="e">
        <f>IF(SUM(#REF!)=12,#REF!,"Group A Winner")</f>
        <v>#REF!</v>
      </c>
      <c r="N66" s="55" t="str">
        <f>H63</f>
        <v/>
      </c>
      <c r="O66" s="96"/>
      <c r="P66" s="11" t="str">
        <f>IF(P67="","",IF(AND(P67=R67,P67&lt;&gt;"",R67&lt;&gt;""),IF(AND(L63=V63,J63=X63),IF(AND(P68=R68,P68&lt;&gt;"",R68&lt;&gt;""),IF(AND(P69=R69,P69&lt;&gt;"",R69&lt;&gt;""),"",P67+P68+P69),P67+P68),P67),P67))</f>
        <v/>
      </c>
      <c r="Q66" s="23" t="s">
        <v>0</v>
      </c>
      <c r="R66" s="11" t="str">
        <f>IF(R67="","",IF(AND(P67=R67,P67&lt;&gt;"",R67&lt;&gt;""),IF(AND(L63=V63,J63=X63),IF(AND(P68=R68,P68&lt;&gt;"",R68&lt;&gt;""),IF(AND(P69=R69,P69&lt;&gt;"",R69&lt;&gt;""),"",R67+R68+R69),R67+R68),R67),R67))</f>
        <v/>
      </c>
      <c r="S66" s="96"/>
      <c r="T66" s="31" t="str">
        <f>Z63</f>
        <v/>
      </c>
      <c r="U66" s="77"/>
      <c r="V66" s="77"/>
      <c r="W66" s="77"/>
      <c r="X66" s="77"/>
      <c r="Y66" s="77"/>
      <c r="Z66" s="77"/>
      <c r="AA66" s="77"/>
      <c r="AB66" s="112"/>
      <c r="AC66" s="110" t="str">
        <f>AC56</f>
        <v>Stadion</v>
      </c>
      <c r="AD66" s="110" t="s">
        <v>8</v>
      </c>
      <c r="AE66" s="116" t="str">
        <f>IF(Z63&lt;&gt;"",VLOOKUP(Z63,'Club Namen'!$B$3:$C$34,2,FALSE),"")</f>
        <v/>
      </c>
      <c r="AF66" s="79"/>
      <c r="CF66" s="94"/>
      <c r="CG66" s="94"/>
    </row>
    <row r="67" spans="2:85" ht="15" customHeight="1" x14ac:dyDescent="0.2">
      <c r="B67" s="76"/>
      <c r="C67" s="112"/>
      <c r="D67" s="110"/>
      <c r="E67" s="110"/>
      <c r="F67" s="116" t="str">
        <f>IF(H63&lt;&gt;"",VLOOKUP(H63,'Club Namen'!$B$3:$D$34,3,FALSE),"")</f>
        <v/>
      </c>
      <c r="G67" s="77"/>
      <c r="H67" s="77"/>
      <c r="I67" s="77"/>
      <c r="J67" s="77"/>
      <c r="K67" s="119"/>
      <c r="L67" s="118"/>
      <c r="M67" s="77"/>
      <c r="N67" s="156" t="s">
        <v>246</v>
      </c>
      <c r="O67" s="120"/>
      <c r="P67" s="23" t="str">
        <f>IF(AND(J63&lt;&gt;"",V63&lt;&gt;""),J63+V63,"")</f>
        <v/>
      </c>
      <c r="Q67" s="23" t="s">
        <v>0</v>
      </c>
      <c r="R67" s="23" t="str">
        <f>IF(AND(L63&lt;&gt;"",X63&lt;&gt;""),L63+X63,"")</f>
        <v/>
      </c>
      <c r="S67" s="77"/>
      <c r="T67" s="77"/>
      <c r="U67" s="77"/>
      <c r="V67" s="77"/>
      <c r="W67" s="77"/>
      <c r="X67" s="77"/>
      <c r="Y67" s="77"/>
      <c r="Z67" s="77"/>
      <c r="AA67" s="77"/>
      <c r="AB67" s="112"/>
      <c r="AC67" s="110"/>
      <c r="AD67" s="110"/>
      <c r="AE67" s="116" t="str">
        <f>IF(Z63&lt;&gt;"",VLOOKUP(Z63,'Club Namen'!$B$3:$D$34,3,FALSE),"")</f>
        <v/>
      </c>
      <c r="AF67" s="79"/>
      <c r="CF67" s="94"/>
      <c r="CG67" s="94"/>
    </row>
    <row r="68" spans="2:85" ht="15" customHeight="1" x14ac:dyDescent="0.2">
      <c r="B68" s="76"/>
      <c r="C68" s="112"/>
      <c r="D68" s="110"/>
      <c r="E68" s="110"/>
      <c r="F68" s="114"/>
      <c r="G68" s="77"/>
      <c r="H68" s="77"/>
      <c r="I68" s="77"/>
      <c r="J68" s="77"/>
      <c r="K68" s="119"/>
      <c r="L68" s="118"/>
      <c r="M68" s="77"/>
      <c r="N68" s="156" t="s">
        <v>247</v>
      </c>
      <c r="O68" s="120"/>
      <c r="P68" s="84"/>
      <c r="Q68" s="84" t="s">
        <v>0</v>
      </c>
      <c r="R68" s="84"/>
      <c r="S68" s="77"/>
      <c r="T68" s="77"/>
      <c r="U68" s="77"/>
      <c r="V68" s="77"/>
      <c r="W68" s="77"/>
      <c r="X68" s="77"/>
      <c r="Y68" s="77"/>
      <c r="Z68" s="77"/>
      <c r="AA68" s="77"/>
      <c r="AB68" s="112"/>
      <c r="AC68" s="110"/>
      <c r="AD68" s="110"/>
      <c r="AE68" s="114"/>
      <c r="AF68" s="79"/>
      <c r="CF68" s="94"/>
      <c r="CG68" s="94"/>
    </row>
    <row r="69" spans="2:85" ht="15" customHeight="1" x14ac:dyDescent="0.2">
      <c r="B69" s="76"/>
      <c r="C69" s="121"/>
      <c r="D69" s="122"/>
      <c r="E69" s="122"/>
      <c r="F69" s="123"/>
      <c r="G69" s="77"/>
      <c r="H69" s="77"/>
      <c r="I69" s="77"/>
      <c r="J69" s="77"/>
      <c r="K69" s="119"/>
      <c r="L69" s="118"/>
      <c r="M69" s="77"/>
      <c r="N69" s="156" t="s">
        <v>248</v>
      </c>
      <c r="O69" s="120"/>
      <c r="P69" s="84"/>
      <c r="Q69" s="84" t="s">
        <v>0</v>
      </c>
      <c r="R69" s="84"/>
      <c r="S69" s="77"/>
      <c r="T69" s="77"/>
      <c r="U69" s="77"/>
      <c r="V69" s="77"/>
      <c r="W69" s="77"/>
      <c r="X69" s="77"/>
      <c r="Y69" s="77"/>
      <c r="Z69" s="77"/>
      <c r="AA69" s="77"/>
      <c r="AB69" s="121"/>
      <c r="AC69" s="122"/>
      <c r="AD69" s="122"/>
      <c r="AE69" s="123"/>
      <c r="AF69" s="79"/>
      <c r="CF69" s="94"/>
      <c r="CG69" s="94"/>
    </row>
    <row r="70" spans="2:85" ht="15" customHeight="1" x14ac:dyDescent="0.2">
      <c r="B70" s="76"/>
      <c r="C70" s="77"/>
      <c r="D70" s="77"/>
      <c r="E70" s="77"/>
      <c r="F70" s="77"/>
      <c r="G70" s="77"/>
      <c r="H70" s="77"/>
      <c r="I70" s="77"/>
      <c r="J70" s="77"/>
      <c r="K70" s="78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9"/>
      <c r="CF70" s="94"/>
      <c r="CG70" s="94"/>
    </row>
    <row r="71" spans="2:85" ht="15" customHeight="1" x14ac:dyDescent="0.2">
      <c r="B71" s="76"/>
      <c r="C71" s="185" t="s">
        <v>272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77"/>
      <c r="R71" s="185" t="s">
        <v>271</v>
      </c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79"/>
      <c r="CF71" s="94"/>
      <c r="CG71" s="94"/>
    </row>
    <row r="72" spans="2:85" ht="15" customHeight="1" x14ac:dyDescent="0.2">
      <c r="B72" s="76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101"/>
      <c r="AC72" s="96"/>
      <c r="AD72" s="96"/>
      <c r="AE72" s="96"/>
      <c r="AF72" s="79"/>
      <c r="CF72" s="94"/>
      <c r="CG72" s="94"/>
    </row>
    <row r="73" spans="2:85" ht="15" customHeight="1" x14ac:dyDescent="0.2">
      <c r="B73" s="76"/>
      <c r="C73" s="105"/>
      <c r="D73" s="106" t="str">
        <f>D63</f>
        <v>Spiel</v>
      </c>
      <c r="E73" s="106" t="s">
        <v>8</v>
      </c>
      <c r="F73" s="107">
        <v>7</v>
      </c>
      <c r="G73" s="108"/>
      <c r="H73" s="59" t="str">
        <f>IF(ISNA(VLOOKUP(F73,Gruppenphase!$V$96:$X$103,3,FALSE)),"",VLOOKUP(F73,Gruppenphase!$V$96:$X$103,3,FALSE))</f>
        <v/>
      </c>
      <c r="I73" s="77"/>
      <c r="J73" s="84"/>
      <c r="K73" s="84" t="s">
        <v>0</v>
      </c>
      <c r="L73" s="84"/>
      <c r="M73" s="77"/>
      <c r="N73" s="10" t="str">
        <f>Z73</f>
        <v/>
      </c>
      <c r="O73" s="77"/>
      <c r="P73" s="77"/>
      <c r="Q73" s="77"/>
      <c r="R73" s="77"/>
      <c r="S73" s="77"/>
      <c r="T73" s="55" t="str">
        <f>H73</f>
        <v/>
      </c>
      <c r="U73" s="77"/>
      <c r="V73" s="84"/>
      <c r="W73" s="84" t="s">
        <v>0</v>
      </c>
      <c r="X73" s="84"/>
      <c r="Y73" s="77"/>
      <c r="Z73" s="60" t="str">
        <f>IF(ISNA(VLOOKUP(AE73,Gruppenphase!$V$86:$X$93,3,FALSE)),"",VLOOKUP(AE73,Gruppenphase!$V$86:$X$93,3,FALSE))</f>
        <v/>
      </c>
      <c r="AA73" s="110"/>
      <c r="AB73" s="110"/>
      <c r="AC73" s="106" t="str">
        <f>AC63</f>
        <v>Spiel</v>
      </c>
      <c r="AD73" s="106" t="s">
        <v>8</v>
      </c>
      <c r="AE73" s="111">
        <f>F73</f>
        <v>7</v>
      </c>
      <c r="AF73" s="79"/>
      <c r="CF73" s="94"/>
      <c r="CG73" s="94"/>
    </row>
    <row r="74" spans="2:85" ht="15" customHeight="1" x14ac:dyDescent="0.2">
      <c r="B74" s="76"/>
      <c r="C74" s="112"/>
      <c r="D74" s="110" t="str">
        <f>D64</f>
        <v>Datum</v>
      </c>
      <c r="E74" s="110" t="s">
        <v>8</v>
      </c>
      <c r="F74" s="113"/>
      <c r="G74" s="77"/>
      <c r="H74" s="77"/>
      <c r="I74" s="77"/>
      <c r="J74" s="77"/>
      <c r="K74" s="78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112"/>
      <c r="AC74" s="110" t="str">
        <f>AC64</f>
        <v>Datum</v>
      </c>
      <c r="AD74" s="110" t="s">
        <v>8</v>
      </c>
      <c r="AE74" s="113"/>
      <c r="AF74" s="79"/>
      <c r="CF74" s="94"/>
      <c r="CG74" s="94"/>
    </row>
    <row r="75" spans="2:85" ht="15" customHeight="1" x14ac:dyDescent="0.2">
      <c r="B75" s="76"/>
      <c r="C75" s="112"/>
      <c r="D75" s="110" t="str">
        <f>D65</f>
        <v>Zeit</v>
      </c>
      <c r="E75" s="110" t="s">
        <v>8</v>
      </c>
      <c r="F75" s="114"/>
      <c r="G75" s="77"/>
      <c r="H75" s="115"/>
      <c r="I75" s="115"/>
      <c r="J75" s="115"/>
      <c r="K75" s="97"/>
      <c r="L75" s="115"/>
      <c r="M75" s="115"/>
      <c r="N75" s="115" t="s">
        <v>287</v>
      </c>
      <c r="O75" s="115" t="s">
        <v>8</v>
      </c>
      <c r="P75" s="47" t="str">
        <f>IF(AND(P76&lt;&gt;"",R76&lt;&gt;""),IF(P76&gt;R76,N76&amp;" win",IF(R76&gt;P76,T76&amp;" win",IF(AND(P76=R76,L73&gt;V73),T76&amp;" win on away goals",IF(AND(P76=R76,L73&lt;V73),N76&amp;" win on away goals","")))),"")</f>
        <v/>
      </c>
      <c r="Q75" s="47"/>
      <c r="R75" s="47"/>
      <c r="S75" s="115"/>
      <c r="T75" s="115"/>
      <c r="U75" s="115"/>
      <c r="V75" s="115"/>
      <c r="W75" s="115"/>
      <c r="X75" s="115"/>
      <c r="Y75" s="115"/>
      <c r="Z75" s="115"/>
      <c r="AA75" s="77"/>
      <c r="AB75" s="112"/>
      <c r="AC75" s="110" t="str">
        <f>AC65</f>
        <v>Zeit</v>
      </c>
      <c r="AD75" s="110" t="s">
        <v>8</v>
      </c>
      <c r="AE75" s="116"/>
      <c r="AF75" s="79"/>
      <c r="CF75" s="94"/>
      <c r="CG75" s="94"/>
    </row>
    <row r="76" spans="2:85" ht="15" customHeight="1" x14ac:dyDescent="0.2">
      <c r="B76" s="76"/>
      <c r="C76" s="112"/>
      <c r="D76" s="110" t="str">
        <f>D66</f>
        <v>Stadion</v>
      </c>
      <c r="E76" s="110" t="s">
        <v>8</v>
      </c>
      <c r="F76" s="116" t="str">
        <f>IF(H73&lt;&gt;"",VLOOKUP(H73,'Club Namen'!$B$3:$C$34,2,FALSE),"")</f>
        <v/>
      </c>
      <c r="G76" s="77"/>
      <c r="H76" s="77"/>
      <c r="I76" s="77"/>
      <c r="J76" s="78"/>
      <c r="K76" s="117"/>
      <c r="L76" s="118"/>
      <c r="M76" s="78" t="e">
        <f>IF(SUM(#REF!)=12,#REF!,"Group A Winner")</f>
        <v>#REF!</v>
      </c>
      <c r="N76" s="109" t="str">
        <f>H73</f>
        <v/>
      </c>
      <c r="O76" s="96"/>
      <c r="P76" s="11" t="str">
        <f>IF(P77="","",IF(AND(P77=R77,P77&lt;&gt;"",R77&lt;&gt;""),IF(AND(L73=V73,J73=X73),IF(AND(P78=R78,P78&lt;&gt;"",R78&lt;&gt;""),IF(AND(P79=R79,P79&lt;&gt;"",R79&lt;&gt;""),"",P77+P78+P79),P77+P78),P77),P77))</f>
        <v/>
      </c>
      <c r="Q76" s="23" t="s">
        <v>0</v>
      </c>
      <c r="R76" s="11" t="str">
        <f>IF(R77="","",IF(AND(P77=R77,P77&lt;&gt;"",R77&lt;&gt;""),IF(AND(L73=V73,J73=X73),IF(AND(P78=R78,P78&lt;&gt;"",R78&lt;&gt;""),IF(AND(P79=R79,P79&lt;&gt;"",R79&lt;&gt;""),"",R77+R78+R79),R77+R78),R77),R77))</f>
        <v/>
      </c>
      <c r="S76" s="96"/>
      <c r="T76" s="96" t="str">
        <f>Z73</f>
        <v/>
      </c>
      <c r="U76" s="77"/>
      <c r="V76" s="77"/>
      <c r="W76" s="77"/>
      <c r="X76" s="77"/>
      <c r="Y76" s="77"/>
      <c r="Z76" s="77"/>
      <c r="AA76" s="77"/>
      <c r="AB76" s="112"/>
      <c r="AC76" s="110" t="str">
        <f>AC66</f>
        <v>Stadion</v>
      </c>
      <c r="AD76" s="110" t="s">
        <v>8</v>
      </c>
      <c r="AE76" s="116" t="str">
        <f>IF(Z73&lt;&gt;"",VLOOKUP(Z73,'Club Namen'!$B$3:$C$34,2,FALSE),"")</f>
        <v/>
      </c>
      <c r="AF76" s="79"/>
      <c r="CF76" s="94"/>
      <c r="CG76" s="94"/>
    </row>
    <row r="77" spans="2:85" ht="15" customHeight="1" x14ac:dyDescent="0.2">
      <c r="B77" s="76"/>
      <c r="C77" s="112"/>
      <c r="D77" s="110"/>
      <c r="E77" s="110"/>
      <c r="F77" s="116" t="str">
        <f>IF(H73&lt;&gt;"",VLOOKUP(H73,'Club Namen'!$B$3:$D$34,3,FALSE),"")</f>
        <v/>
      </c>
      <c r="G77" s="77"/>
      <c r="H77" s="77"/>
      <c r="I77" s="77"/>
      <c r="J77" s="77"/>
      <c r="K77" s="119"/>
      <c r="L77" s="118"/>
      <c r="M77" s="77"/>
      <c r="N77" s="156" t="s">
        <v>246</v>
      </c>
      <c r="O77" s="120"/>
      <c r="P77" s="23" t="str">
        <f>IF(AND(J73&lt;&gt;"",V73&lt;&gt;""),J73+V73,"")</f>
        <v/>
      </c>
      <c r="Q77" s="23" t="s">
        <v>0</v>
      </c>
      <c r="R77" s="23" t="str">
        <f>IF(AND(L73&lt;&gt;"",X73&lt;&gt;""),L73+X73,"")</f>
        <v/>
      </c>
      <c r="S77" s="77"/>
      <c r="T77" s="77"/>
      <c r="U77" s="77"/>
      <c r="V77" s="77"/>
      <c r="W77" s="77"/>
      <c r="X77" s="77"/>
      <c r="Y77" s="77"/>
      <c r="Z77" s="77"/>
      <c r="AA77" s="77"/>
      <c r="AB77" s="112"/>
      <c r="AC77" s="110"/>
      <c r="AD77" s="110"/>
      <c r="AE77" s="116" t="str">
        <f>IF(Z73&lt;&gt;"",VLOOKUP(Z73,'Club Namen'!$B$3:$D$34,3,FALSE),"")</f>
        <v/>
      </c>
      <c r="AF77" s="79"/>
      <c r="CF77" s="94"/>
      <c r="CG77" s="94"/>
    </row>
    <row r="78" spans="2:85" ht="15" customHeight="1" x14ac:dyDescent="0.2">
      <c r="B78" s="76"/>
      <c r="C78" s="112"/>
      <c r="D78" s="110"/>
      <c r="E78" s="110"/>
      <c r="F78" s="114"/>
      <c r="G78" s="77"/>
      <c r="H78" s="77"/>
      <c r="I78" s="77"/>
      <c r="J78" s="77"/>
      <c r="K78" s="119"/>
      <c r="L78" s="118"/>
      <c r="M78" s="77"/>
      <c r="N78" s="156" t="s">
        <v>247</v>
      </c>
      <c r="O78" s="120"/>
      <c r="P78" s="84"/>
      <c r="Q78" s="84" t="s">
        <v>0</v>
      </c>
      <c r="R78" s="84"/>
      <c r="S78" s="77"/>
      <c r="T78" s="77"/>
      <c r="U78" s="77"/>
      <c r="V78" s="77"/>
      <c r="W78" s="77"/>
      <c r="X78" s="77"/>
      <c r="Y78" s="77"/>
      <c r="Z78" s="77"/>
      <c r="AA78" s="77"/>
      <c r="AB78" s="112"/>
      <c r="AC78" s="110"/>
      <c r="AD78" s="110"/>
      <c r="AE78" s="114"/>
      <c r="AF78" s="79"/>
      <c r="CF78" s="94"/>
      <c r="CG78" s="94"/>
    </row>
    <row r="79" spans="2:85" ht="15" customHeight="1" x14ac:dyDescent="0.2">
      <c r="B79" s="76"/>
      <c r="C79" s="121"/>
      <c r="D79" s="122"/>
      <c r="E79" s="122"/>
      <c r="F79" s="123"/>
      <c r="G79" s="77"/>
      <c r="H79" s="77"/>
      <c r="I79" s="77"/>
      <c r="J79" s="77"/>
      <c r="K79" s="119"/>
      <c r="L79" s="118"/>
      <c r="M79" s="77"/>
      <c r="N79" s="156" t="s">
        <v>248</v>
      </c>
      <c r="O79" s="120"/>
      <c r="P79" s="84"/>
      <c r="Q79" s="84" t="s">
        <v>0</v>
      </c>
      <c r="R79" s="84"/>
      <c r="S79" s="77"/>
      <c r="T79" s="77"/>
      <c r="U79" s="77"/>
      <c r="V79" s="77"/>
      <c r="W79" s="77"/>
      <c r="X79" s="77"/>
      <c r="Y79" s="77"/>
      <c r="Z79" s="77"/>
      <c r="AA79" s="77"/>
      <c r="AB79" s="121"/>
      <c r="AC79" s="122"/>
      <c r="AD79" s="122"/>
      <c r="AE79" s="123"/>
      <c r="AF79" s="79"/>
      <c r="CF79" s="94"/>
      <c r="CG79" s="94"/>
    </row>
    <row r="80" spans="2:85" ht="15" customHeight="1" x14ac:dyDescent="0.2">
      <c r="B80" s="76"/>
      <c r="C80" s="77"/>
      <c r="D80" s="77"/>
      <c r="E80" s="77"/>
      <c r="F80" s="77"/>
      <c r="G80" s="77"/>
      <c r="H80" s="77"/>
      <c r="I80" s="77"/>
      <c r="J80" s="77"/>
      <c r="K80" s="78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9"/>
      <c r="CF80" s="94"/>
      <c r="CG80" s="94"/>
    </row>
    <row r="81" spans="2:85" ht="15" customHeight="1" x14ac:dyDescent="0.2">
      <c r="B81" s="76"/>
      <c r="C81" s="185" t="s">
        <v>272</v>
      </c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77"/>
      <c r="R81" s="185" t="s">
        <v>271</v>
      </c>
      <c r="S81" s="185"/>
      <c r="T81" s="185"/>
      <c r="U81" s="185"/>
      <c r="V81" s="185"/>
      <c r="W81" s="185"/>
      <c r="X81" s="185"/>
      <c r="Y81" s="185"/>
      <c r="Z81" s="185"/>
      <c r="AA81" s="185"/>
      <c r="AB81" s="185"/>
      <c r="AC81" s="185"/>
      <c r="AD81" s="185"/>
      <c r="AE81" s="185"/>
      <c r="AF81" s="79"/>
      <c r="CF81" s="94"/>
      <c r="CG81" s="94"/>
    </row>
    <row r="82" spans="2:85" ht="15" customHeight="1" x14ac:dyDescent="0.2">
      <c r="B82" s="76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101"/>
      <c r="AC82" s="96"/>
      <c r="AD82" s="96"/>
      <c r="AE82" s="96"/>
      <c r="AF82" s="79"/>
      <c r="CF82" s="94"/>
      <c r="CG82" s="94"/>
    </row>
    <row r="83" spans="2:85" ht="15" customHeight="1" x14ac:dyDescent="0.2">
      <c r="B83" s="76"/>
      <c r="C83" s="105"/>
      <c r="D83" s="106" t="str">
        <f>D73</f>
        <v>Spiel</v>
      </c>
      <c r="E83" s="106" t="s">
        <v>8</v>
      </c>
      <c r="F83" s="107">
        <v>8</v>
      </c>
      <c r="G83" s="108"/>
      <c r="H83" s="59" t="str">
        <f>IF(ISNA(VLOOKUP(F83,Gruppenphase!$V$96:$X$103,3,FALSE)),"",VLOOKUP(F83,Gruppenphase!$V$96:$X$103,3,FALSE))</f>
        <v/>
      </c>
      <c r="I83" s="77"/>
      <c r="J83" s="84"/>
      <c r="K83" s="84" t="s">
        <v>0</v>
      </c>
      <c r="L83" s="84"/>
      <c r="M83" s="77"/>
      <c r="N83" s="10" t="str">
        <f>Z83</f>
        <v/>
      </c>
      <c r="O83" s="77"/>
      <c r="P83" s="77"/>
      <c r="Q83" s="77"/>
      <c r="R83" s="77"/>
      <c r="S83" s="77"/>
      <c r="T83" s="55" t="str">
        <f>H83</f>
        <v/>
      </c>
      <c r="U83" s="77"/>
      <c r="V83" s="84"/>
      <c r="W83" s="84" t="s">
        <v>0</v>
      </c>
      <c r="X83" s="84"/>
      <c r="Y83" s="77"/>
      <c r="Z83" s="60" t="str">
        <f>IF(ISNA(VLOOKUP(AE83,Gruppenphase!$V$86:$X$93,3,FALSE)),"",VLOOKUP(AE83,Gruppenphase!$V$86:$X$93,3,FALSE))</f>
        <v/>
      </c>
      <c r="AA83" s="110"/>
      <c r="AB83" s="110"/>
      <c r="AC83" s="106" t="str">
        <f>AC73</f>
        <v>Spiel</v>
      </c>
      <c r="AD83" s="106" t="s">
        <v>8</v>
      </c>
      <c r="AE83" s="111">
        <f>F83</f>
        <v>8</v>
      </c>
      <c r="AF83" s="79"/>
      <c r="CF83" s="94"/>
      <c r="CG83" s="94"/>
    </row>
    <row r="84" spans="2:85" ht="15" customHeight="1" x14ac:dyDescent="0.2">
      <c r="B84" s="76"/>
      <c r="C84" s="112"/>
      <c r="D84" s="110" t="str">
        <f>D74</f>
        <v>Datum</v>
      </c>
      <c r="E84" s="110" t="s">
        <v>8</v>
      </c>
      <c r="F84" s="113"/>
      <c r="G84" s="77"/>
      <c r="H84" s="77"/>
      <c r="I84" s="77"/>
      <c r="J84" s="77"/>
      <c r="K84" s="78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112"/>
      <c r="AC84" s="110" t="str">
        <f>AC74</f>
        <v>Datum</v>
      </c>
      <c r="AD84" s="110" t="s">
        <v>8</v>
      </c>
      <c r="AE84" s="113"/>
      <c r="AF84" s="79"/>
      <c r="CF84" s="94"/>
      <c r="CG84" s="94"/>
    </row>
    <row r="85" spans="2:85" ht="15" customHeight="1" x14ac:dyDescent="0.2">
      <c r="B85" s="76"/>
      <c r="C85" s="112"/>
      <c r="D85" s="110" t="str">
        <f>D75</f>
        <v>Zeit</v>
      </c>
      <c r="E85" s="110" t="s">
        <v>8</v>
      </c>
      <c r="F85" s="114"/>
      <c r="G85" s="77"/>
      <c r="H85" s="115"/>
      <c r="I85" s="115"/>
      <c r="J85" s="115"/>
      <c r="K85" s="97"/>
      <c r="L85" s="115"/>
      <c r="M85" s="115"/>
      <c r="N85" s="115" t="s">
        <v>287</v>
      </c>
      <c r="O85" s="115" t="s">
        <v>8</v>
      </c>
      <c r="P85" s="47" t="str">
        <f>IF(AND(P86&lt;&gt;"",R86&lt;&gt;""),IF(P86&gt;R86,N86&amp;" win",IF(R86&gt;P86,T86&amp;" win",IF(AND(P86=R86,L83&gt;V83),T86&amp;" win on away goals",IF(AND(P86=R86,L83&lt;V83),N86&amp;" win on away goals","")))),"")</f>
        <v/>
      </c>
      <c r="Q85" s="47"/>
      <c r="R85" s="47"/>
      <c r="S85" s="115"/>
      <c r="T85" s="115"/>
      <c r="U85" s="115"/>
      <c r="V85" s="115"/>
      <c r="W85" s="115"/>
      <c r="X85" s="115"/>
      <c r="Y85" s="115"/>
      <c r="Z85" s="115"/>
      <c r="AA85" s="77"/>
      <c r="AB85" s="112"/>
      <c r="AC85" s="110" t="str">
        <f>AC75</f>
        <v>Zeit</v>
      </c>
      <c r="AD85" s="110" t="s">
        <v>8</v>
      </c>
      <c r="AE85" s="116"/>
      <c r="AF85" s="79"/>
      <c r="CF85" s="94"/>
      <c r="CG85" s="94"/>
    </row>
    <row r="86" spans="2:85" ht="15" customHeight="1" x14ac:dyDescent="0.2">
      <c r="B86" s="76"/>
      <c r="C86" s="112"/>
      <c r="D86" s="110" t="str">
        <f>D76</f>
        <v>Stadion</v>
      </c>
      <c r="E86" s="110" t="s">
        <v>8</v>
      </c>
      <c r="F86" s="116" t="str">
        <f>IF(H83&lt;&gt;"",VLOOKUP(H83,'Club Namen'!$B$3:$C$34,2,FALSE),"")</f>
        <v/>
      </c>
      <c r="G86" s="77"/>
      <c r="H86" s="77"/>
      <c r="I86" s="77"/>
      <c r="J86" s="78"/>
      <c r="K86" s="117"/>
      <c r="L86" s="118"/>
      <c r="M86" s="78" t="e">
        <f>IF(SUM(#REF!)=12,#REF!,"Group A Winner")</f>
        <v>#REF!</v>
      </c>
      <c r="N86" s="55" t="str">
        <f>H83</f>
        <v/>
      </c>
      <c r="O86" s="96"/>
      <c r="P86" s="11" t="str">
        <f>IF(P87="","",IF(AND(P87=R87,P87&lt;&gt;"",R87&lt;&gt;""),IF(AND(L83=V83,J83=X83),IF(AND(P88=R88,P88&lt;&gt;"",R88&lt;&gt;""),IF(AND(P89=R89,P89&lt;&gt;"",R89&lt;&gt;""),"",P87+P88+P89),P87+P88),P87),P87))</f>
        <v/>
      </c>
      <c r="Q86" s="23" t="s">
        <v>0</v>
      </c>
      <c r="R86" s="11" t="str">
        <f>IF(R87="","",IF(AND(P87=R87,P87&lt;&gt;"",R87&lt;&gt;""),IF(AND(L83=V83,J83=X83),IF(AND(P88=R88,P88&lt;&gt;"",R88&lt;&gt;""),IF(AND(P89=R89,P89&lt;&gt;"",R89&lt;&gt;""),"",R87+R88+R89),R87+R88),R87),R87))</f>
        <v/>
      </c>
      <c r="S86" s="96"/>
      <c r="T86" s="31" t="str">
        <f>Z83</f>
        <v/>
      </c>
      <c r="U86" s="77"/>
      <c r="V86" s="77"/>
      <c r="W86" s="77"/>
      <c r="X86" s="77"/>
      <c r="Y86" s="77"/>
      <c r="Z86" s="77"/>
      <c r="AA86" s="77"/>
      <c r="AB86" s="112"/>
      <c r="AC86" s="110" t="str">
        <f>AC76</f>
        <v>Stadion</v>
      </c>
      <c r="AD86" s="110" t="s">
        <v>8</v>
      </c>
      <c r="AE86" s="116" t="str">
        <f>IF(Z83&lt;&gt;"",VLOOKUP(Z83,'Club Namen'!$B$3:$C$34,2,FALSE),"")</f>
        <v/>
      </c>
      <c r="AF86" s="79"/>
      <c r="CF86" s="94"/>
      <c r="CG86" s="94"/>
    </row>
    <row r="87" spans="2:85" ht="15" customHeight="1" x14ac:dyDescent="0.2">
      <c r="B87" s="76"/>
      <c r="C87" s="112"/>
      <c r="D87" s="110"/>
      <c r="E87" s="110"/>
      <c r="F87" s="116" t="str">
        <f>IF(H83&lt;&gt;"",VLOOKUP(H83,'Club Namen'!$B$3:$D$34,3,FALSE),"")</f>
        <v/>
      </c>
      <c r="G87" s="77"/>
      <c r="H87" s="77"/>
      <c r="I87" s="77"/>
      <c r="J87" s="77"/>
      <c r="K87" s="119"/>
      <c r="L87" s="118"/>
      <c r="M87" s="77"/>
      <c r="N87" s="156" t="s">
        <v>246</v>
      </c>
      <c r="O87" s="120"/>
      <c r="P87" s="23" t="str">
        <f>IF(AND(J83&lt;&gt;"",V83&lt;&gt;""),J83+V83,"")</f>
        <v/>
      </c>
      <c r="Q87" s="23" t="s">
        <v>0</v>
      </c>
      <c r="R87" s="23" t="str">
        <f>IF(AND(L83&lt;&gt;"",X83&lt;&gt;""),L83+X83,"")</f>
        <v/>
      </c>
      <c r="S87" s="77"/>
      <c r="T87" s="77"/>
      <c r="U87" s="77"/>
      <c r="V87" s="77"/>
      <c r="W87" s="77"/>
      <c r="X87" s="77"/>
      <c r="Y87" s="77"/>
      <c r="Z87" s="77"/>
      <c r="AA87" s="77"/>
      <c r="AB87" s="112"/>
      <c r="AC87" s="110"/>
      <c r="AD87" s="110"/>
      <c r="AE87" s="116" t="str">
        <f>IF(Z83&lt;&gt;"",VLOOKUP(Z83,'Club Namen'!$B$3:$D$34,3,FALSE),"")</f>
        <v/>
      </c>
      <c r="AF87" s="79"/>
      <c r="CF87" s="94"/>
      <c r="CG87" s="94"/>
    </row>
    <row r="88" spans="2:85" ht="15" customHeight="1" x14ac:dyDescent="0.2">
      <c r="B88" s="76"/>
      <c r="C88" s="112"/>
      <c r="D88" s="110"/>
      <c r="E88" s="110"/>
      <c r="F88" s="114"/>
      <c r="G88" s="77"/>
      <c r="H88" s="77"/>
      <c r="I88" s="77"/>
      <c r="J88" s="77"/>
      <c r="K88" s="119"/>
      <c r="L88" s="118"/>
      <c r="M88" s="77"/>
      <c r="N88" s="156" t="s">
        <v>247</v>
      </c>
      <c r="O88" s="120"/>
      <c r="P88" s="84"/>
      <c r="Q88" s="84" t="s">
        <v>0</v>
      </c>
      <c r="R88" s="84"/>
      <c r="S88" s="77"/>
      <c r="T88" s="77"/>
      <c r="U88" s="77"/>
      <c r="V88" s="77"/>
      <c r="W88" s="77"/>
      <c r="X88" s="77"/>
      <c r="Y88" s="77"/>
      <c r="Z88" s="77"/>
      <c r="AA88" s="77"/>
      <c r="AB88" s="112"/>
      <c r="AC88" s="110"/>
      <c r="AD88" s="110"/>
      <c r="AE88" s="114"/>
      <c r="AF88" s="79"/>
      <c r="CF88" s="94"/>
      <c r="CG88" s="94"/>
    </row>
    <row r="89" spans="2:85" ht="15" customHeight="1" x14ac:dyDescent="0.2">
      <c r="B89" s="76"/>
      <c r="C89" s="121"/>
      <c r="D89" s="122"/>
      <c r="E89" s="122"/>
      <c r="F89" s="123"/>
      <c r="G89" s="77"/>
      <c r="H89" s="77"/>
      <c r="I89" s="77"/>
      <c r="J89" s="77"/>
      <c r="K89" s="119"/>
      <c r="L89" s="118"/>
      <c r="M89" s="77"/>
      <c r="N89" s="156" t="s">
        <v>248</v>
      </c>
      <c r="O89" s="120"/>
      <c r="P89" s="84"/>
      <c r="Q89" s="84" t="s">
        <v>0</v>
      </c>
      <c r="R89" s="84"/>
      <c r="S89" s="77"/>
      <c r="T89" s="77"/>
      <c r="U89" s="77"/>
      <c r="V89" s="77"/>
      <c r="W89" s="77"/>
      <c r="X89" s="77"/>
      <c r="Y89" s="77"/>
      <c r="Z89" s="77"/>
      <c r="AA89" s="77"/>
      <c r="AB89" s="121"/>
      <c r="AC89" s="122"/>
      <c r="AD89" s="122"/>
      <c r="AE89" s="123"/>
      <c r="AF89" s="79"/>
      <c r="CF89" s="94"/>
      <c r="CG89" s="94"/>
    </row>
    <row r="90" spans="2:85" ht="15" customHeight="1" x14ac:dyDescent="0.2">
      <c r="B90" s="76"/>
      <c r="C90" s="77"/>
      <c r="D90" s="77"/>
      <c r="E90" s="77"/>
      <c r="F90" s="77"/>
      <c r="G90" s="77"/>
      <c r="H90" s="77"/>
      <c r="I90" s="77"/>
      <c r="J90" s="77"/>
      <c r="K90" s="78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9"/>
      <c r="CF90" s="94"/>
      <c r="CG90" s="94"/>
    </row>
    <row r="91" spans="2:85" ht="15" customHeight="1" x14ac:dyDescent="0.2">
      <c r="B91" s="76"/>
      <c r="C91" s="115"/>
      <c r="D91" s="115"/>
      <c r="E91" s="115"/>
      <c r="F91" s="115"/>
      <c r="G91" s="115"/>
      <c r="H91" s="115"/>
      <c r="I91" s="115"/>
      <c r="J91" s="115"/>
      <c r="K91" s="97"/>
      <c r="L91" s="115"/>
      <c r="M91" s="115"/>
      <c r="N91" s="115"/>
      <c r="O91" s="115"/>
      <c r="P91" s="115"/>
      <c r="Q91" s="97" t="s">
        <v>288</v>
      </c>
      <c r="R91" s="115"/>
      <c r="S91" s="115"/>
      <c r="T91" s="124"/>
      <c r="U91" s="124"/>
      <c r="V91" s="124"/>
      <c r="W91" s="97"/>
      <c r="X91" s="124"/>
      <c r="Y91" s="124"/>
      <c r="Z91" s="124"/>
      <c r="AA91" s="115"/>
      <c r="AB91" s="115"/>
      <c r="AC91" s="115"/>
      <c r="AD91" s="115"/>
      <c r="AE91" s="115"/>
      <c r="AF91" s="79"/>
      <c r="CF91" s="94"/>
      <c r="CG91" s="94"/>
    </row>
    <row r="92" spans="2:85" ht="15" customHeight="1" x14ac:dyDescent="0.2">
      <c r="B92" s="76"/>
      <c r="C92" s="98"/>
      <c r="D92" s="98"/>
      <c r="E92" s="98"/>
      <c r="F92" s="98"/>
      <c r="G92" s="98"/>
      <c r="H92" s="98"/>
      <c r="I92" s="98"/>
      <c r="J92" s="98"/>
      <c r="K92" s="125"/>
      <c r="L92" s="98"/>
      <c r="M92" s="98"/>
      <c r="N92" s="98"/>
      <c r="O92" s="98"/>
      <c r="P92" s="98"/>
      <c r="Q92" s="98"/>
      <c r="R92" s="98"/>
      <c r="S92" s="98"/>
      <c r="T92" s="126"/>
      <c r="U92" s="126"/>
      <c r="V92" s="126"/>
      <c r="W92" s="125"/>
      <c r="X92" s="126"/>
      <c r="Y92" s="126"/>
      <c r="Z92" s="126"/>
      <c r="AA92" s="98"/>
      <c r="AB92" s="98"/>
      <c r="AC92" s="98"/>
      <c r="AD92" s="98"/>
      <c r="AE92" s="98"/>
      <c r="AF92" s="79"/>
      <c r="CF92" s="94"/>
      <c r="CG92" s="94"/>
    </row>
    <row r="93" spans="2:85" ht="15" customHeight="1" x14ac:dyDescent="0.2">
      <c r="B93" s="76"/>
      <c r="H93" s="92" t="s">
        <v>289</v>
      </c>
      <c r="J93" s="98"/>
      <c r="K93" s="125"/>
      <c r="L93" s="98"/>
      <c r="M93" s="98"/>
      <c r="N93" s="92" t="s">
        <v>290</v>
      </c>
      <c r="O93" s="98"/>
      <c r="P93" s="98"/>
      <c r="Q93" s="127"/>
      <c r="R93" s="98"/>
      <c r="S93" s="98"/>
      <c r="T93" s="92" t="s">
        <v>289</v>
      </c>
      <c r="V93" s="98"/>
      <c r="W93" s="125"/>
      <c r="X93" s="98"/>
      <c r="Y93" s="98"/>
      <c r="Z93" s="92" t="s">
        <v>290</v>
      </c>
      <c r="AA93" s="98"/>
      <c r="AB93" s="98"/>
      <c r="AC93" s="98"/>
      <c r="AD93" s="98"/>
      <c r="AE93" s="98"/>
      <c r="AF93" s="79"/>
      <c r="CF93" s="94"/>
      <c r="CG93" s="94"/>
    </row>
    <row r="94" spans="2:85" ht="15" customHeight="1" x14ac:dyDescent="0.2">
      <c r="B94" s="76"/>
      <c r="C94" s="98"/>
      <c r="D94" s="98"/>
      <c r="E94" s="96" t="s">
        <v>260</v>
      </c>
      <c r="G94" s="98"/>
      <c r="H94" s="128"/>
      <c r="I94" s="129"/>
      <c r="J94" s="129"/>
      <c r="K94" s="130" t="s">
        <v>159</v>
      </c>
      <c r="L94" s="129"/>
      <c r="M94" s="129"/>
      <c r="N94" s="128"/>
      <c r="O94" s="98"/>
      <c r="P94" s="98"/>
      <c r="Q94" s="127"/>
      <c r="R94" s="98"/>
      <c r="S94" s="98"/>
      <c r="T94" s="126"/>
      <c r="U94" s="126"/>
      <c r="V94" s="126"/>
      <c r="X94" s="126"/>
      <c r="Y94" s="126"/>
      <c r="Z94" s="126"/>
      <c r="AA94" s="98"/>
      <c r="AB94" s="98"/>
      <c r="AC94" s="98"/>
      <c r="AD94" s="98"/>
      <c r="AE94" s="98"/>
      <c r="AF94" s="79"/>
      <c r="CF94" s="94"/>
      <c r="CG94" s="94"/>
    </row>
    <row r="95" spans="2:85" ht="15" customHeight="1" x14ac:dyDescent="0.2">
      <c r="B95" s="76"/>
      <c r="C95" s="98"/>
      <c r="D95" s="98"/>
      <c r="E95" s="96" t="s">
        <v>261</v>
      </c>
      <c r="F95" s="77"/>
      <c r="G95" s="98"/>
      <c r="H95" s="128"/>
      <c r="I95" s="129"/>
      <c r="J95" s="129"/>
      <c r="K95" s="130" t="s">
        <v>159</v>
      </c>
      <c r="L95" s="129"/>
      <c r="M95" s="129"/>
      <c r="N95" s="128"/>
      <c r="O95" s="98"/>
      <c r="P95" s="98"/>
      <c r="Q95" s="127"/>
      <c r="R95" s="98"/>
      <c r="S95" s="98"/>
      <c r="T95" s="186" t="s">
        <v>264</v>
      </c>
      <c r="U95" s="186"/>
      <c r="V95" s="186"/>
      <c r="W95" s="186"/>
      <c r="X95" s="130" t="s">
        <v>159</v>
      </c>
      <c r="Y95" s="129"/>
      <c r="Z95" s="186" t="s">
        <v>265</v>
      </c>
      <c r="AA95" s="186"/>
      <c r="AB95" s="186"/>
      <c r="AC95" s="186"/>
      <c r="AD95" s="98"/>
      <c r="AE95" s="98"/>
      <c r="AF95" s="79"/>
      <c r="CF95" s="94"/>
      <c r="CG95" s="94"/>
    </row>
    <row r="96" spans="2:85" ht="15" customHeight="1" x14ac:dyDescent="0.2">
      <c r="B96" s="76"/>
      <c r="C96" s="98"/>
      <c r="D96" s="98"/>
      <c r="E96" s="96" t="s">
        <v>262</v>
      </c>
      <c r="F96" s="77"/>
      <c r="G96" s="98"/>
      <c r="H96" s="128"/>
      <c r="I96" s="129"/>
      <c r="J96" s="129"/>
      <c r="K96" s="130" t="s">
        <v>159</v>
      </c>
      <c r="L96" s="129"/>
      <c r="M96" s="129"/>
      <c r="N96" s="128"/>
      <c r="O96" s="98"/>
      <c r="P96" s="98"/>
      <c r="Q96" s="127"/>
      <c r="R96" s="98"/>
      <c r="S96" s="98"/>
      <c r="T96" s="186" t="s">
        <v>266</v>
      </c>
      <c r="U96" s="186"/>
      <c r="V96" s="186"/>
      <c r="W96" s="186"/>
      <c r="X96" s="130" t="s">
        <v>159</v>
      </c>
      <c r="Y96" s="129"/>
      <c r="Z96" s="186" t="s">
        <v>267</v>
      </c>
      <c r="AA96" s="186"/>
      <c r="AB96" s="186"/>
      <c r="AC96" s="186"/>
      <c r="AD96" s="98"/>
      <c r="AE96" s="98"/>
      <c r="AF96" s="79"/>
      <c r="CF96" s="94"/>
      <c r="CG96" s="94"/>
    </row>
    <row r="97" spans="2:85" ht="15" customHeight="1" x14ac:dyDescent="0.2">
      <c r="B97" s="76"/>
      <c r="C97" s="98"/>
      <c r="D97" s="98"/>
      <c r="E97" s="96" t="s">
        <v>263</v>
      </c>
      <c r="F97" s="77"/>
      <c r="G97" s="98"/>
      <c r="H97" s="128"/>
      <c r="I97" s="129"/>
      <c r="J97" s="129"/>
      <c r="K97" s="130" t="s">
        <v>159</v>
      </c>
      <c r="L97" s="129"/>
      <c r="M97" s="129"/>
      <c r="N97" s="128"/>
      <c r="O97" s="98"/>
      <c r="P97" s="98"/>
      <c r="Q97" s="127"/>
      <c r="R97" s="98"/>
      <c r="S97" s="98"/>
      <c r="T97" s="98"/>
      <c r="U97" s="98"/>
      <c r="V97" s="98"/>
      <c r="W97" s="125"/>
      <c r="X97" s="98"/>
      <c r="Y97" s="98"/>
      <c r="Z97" s="98"/>
      <c r="AA97" s="98"/>
      <c r="AB97" s="98"/>
      <c r="AC97" s="98"/>
      <c r="AD97" s="98"/>
      <c r="AE97" s="98"/>
      <c r="AF97" s="79"/>
      <c r="CF97" s="94"/>
      <c r="CG97" s="94"/>
    </row>
    <row r="98" spans="2:85" ht="15" customHeight="1" x14ac:dyDescent="0.2">
      <c r="B98" s="76"/>
      <c r="C98" s="98"/>
      <c r="D98" s="98"/>
      <c r="E98" s="98"/>
      <c r="F98" s="77"/>
      <c r="G98" s="98"/>
      <c r="H98" s="98"/>
      <c r="I98" s="98"/>
      <c r="J98" s="98"/>
      <c r="K98" s="130"/>
      <c r="L98" s="98"/>
      <c r="M98" s="98"/>
      <c r="N98" s="98"/>
      <c r="O98" s="98"/>
      <c r="P98" s="98"/>
      <c r="Q98" s="127"/>
      <c r="R98" s="98"/>
      <c r="S98" s="98"/>
      <c r="T98" s="77"/>
      <c r="U98" s="77"/>
      <c r="V98" s="77"/>
      <c r="W98" s="77"/>
      <c r="X98" s="77"/>
      <c r="Y98" s="98"/>
      <c r="Z98" s="98"/>
      <c r="AA98" s="98"/>
      <c r="AB98" s="98"/>
      <c r="AC98" s="98"/>
      <c r="AD98" s="98"/>
      <c r="AE98" s="98"/>
      <c r="AF98" s="79"/>
      <c r="CF98" s="94"/>
      <c r="CG98" s="94"/>
    </row>
    <row r="99" spans="2:85" ht="15" customHeight="1" x14ac:dyDescent="0.2">
      <c r="B99" s="76"/>
      <c r="C99" s="98"/>
      <c r="D99" s="98"/>
      <c r="E99" s="85" t="s">
        <v>252</v>
      </c>
      <c r="F99" s="77"/>
      <c r="G99" s="98"/>
      <c r="H99" s="70" t="str">
        <f>IF(P16&gt;R16,N16,IF(R16&gt;P16,T16,IF(AND(P16=R16,L13&gt;V13),T16,IF(AND(P16=R16,L13&lt;V13),N16,""))))</f>
        <v/>
      </c>
      <c r="I99" s="77"/>
      <c r="J99" s="98"/>
      <c r="K99" s="78"/>
      <c r="L99" s="77"/>
      <c r="M99" s="98"/>
      <c r="N99" s="98"/>
      <c r="O99" s="98"/>
      <c r="P99" s="98"/>
      <c r="Q99" s="127"/>
      <c r="R99" s="98"/>
      <c r="S99" s="98"/>
      <c r="T99" s="77" t="s">
        <v>264</v>
      </c>
      <c r="U99" s="77"/>
      <c r="V99" s="77"/>
      <c r="W99" s="70" t="str">
        <f>IF(P115&lt;&gt;"",IF(P116&gt;R116,N116,IF(R116&gt;P116,T116,IF(AND(P116=R116,L113&gt;V113),T116,IF(AND(P116=R116,L113&lt;V113),N116,"")))),"")</f>
        <v/>
      </c>
      <c r="X99" s="77"/>
      <c r="Y99" s="98"/>
      <c r="Z99" s="98"/>
      <c r="AA99" s="98"/>
      <c r="AB99" s="98"/>
      <c r="AC99" s="98"/>
      <c r="AD99" s="98"/>
      <c r="AE99" s="98"/>
      <c r="AF99" s="79"/>
      <c r="CF99" s="94"/>
      <c r="CG99" s="94"/>
    </row>
    <row r="100" spans="2:85" ht="15" customHeight="1" x14ac:dyDescent="0.2">
      <c r="B100" s="76"/>
      <c r="C100" s="98"/>
      <c r="D100" s="98"/>
      <c r="E100" s="85" t="s">
        <v>253</v>
      </c>
      <c r="F100" s="77"/>
      <c r="G100" s="98"/>
      <c r="H100" s="70" t="str">
        <f>IF(P26&gt;R26,N26,IF(R26&gt;P26,T26,IF(AND(P26=R26,L23&gt;V23),T26,IF(AND(P26=R26,L23&lt;V23),N26,""))))</f>
        <v/>
      </c>
      <c r="I100" s="77"/>
      <c r="J100" s="98"/>
      <c r="K100" s="78"/>
      <c r="L100" s="77"/>
      <c r="M100" s="98"/>
      <c r="N100" s="98"/>
      <c r="O100" s="98"/>
      <c r="P100" s="98"/>
      <c r="Q100" s="127"/>
      <c r="R100" s="98"/>
      <c r="S100" s="98"/>
      <c r="T100" s="77" t="s">
        <v>265</v>
      </c>
      <c r="U100" s="77"/>
      <c r="V100" s="77"/>
      <c r="W100" s="70" t="str">
        <f>IF(P125&lt;&gt;"",IF(P126&gt;R126,N126,IF(R126&gt;P126,T126,IF(AND(P126=R126,L123&gt;V123),T126,IF(AND(P126=R126,L123&lt;V123),N126,"")))),"")</f>
        <v/>
      </c>
      <c r="X100" s="77"/>
      <c r="Y100" s="98"/>
      <c r="Z100" s="98"/>
      <c r="AA100" s="98"/>
      <c r="AB100" s="98"/>
      <c r="AC100" s="98"/>
      <c r="AD100" s="98"/>
      <c r="AE100" s="98"/>
      <c r="AF100" s="79"/>
      <c r="CF100" s="94"/>
      <c r="CG100" s="94"/>
    </row>
    <row r="101" spans="2:85" ht="15" customHeight="1" x14ac:dyDescent="0.2">
      <c r="B101" s="76"/>
      <c r="C101" s="98"/>
      <c r="D101" s="98"/>
      <c r="E101" s="85" t="s">
        <v>254</v>
      </c>
      <c r="F101" s="77"/>
      <c r="G101" s="98"/>
      <c r="H101" s="71" t="str">
        <f>IF(P36&gt;R36,N36,IF(R36&gt;P36,T36,IF(AND(P36=R36,L33&gt;V33),T36,IF(AND(P36=R36,L33&lt;V33),N36,""))))</f>
        <v/>
      </c>
      <c r="I101" s="77"/>
      <c r="J101" s="98"/>
      <c r="K101" s="78"/>
      <c r="L101" s="77"/>
      <c r="M101" s="98"/>
      <c r="N101" s="98"/>
      <c r="O101" s="98"/>
      <c r="P101" s="98"/>
      <c r="Q101" s="127"/>
      <c r="R101" s="98"/>
      <c r="S101" s="98"/>
      <c r="T101" s="77" t="s">
        <v>266</v>
      </c>
      <c r="U101" s="77"/>
      <c r="V101" s="77"/>
      <c r="W101" s="70" t="str">
        <f>IF(P135&lt;&gt;"",IF(P136&gt;R136,N136,IF(R136&gt;P136,T136,IF(AND(P136=R136,L133&gt;V133),T136,IF(AND(P136=R136,L133&lt;V133),N136,"")))),"")</f>
        <v/>
      </c>
      <c r="X101" s="77"/>
      <c r="Y101" s="98"/>
      <c r="Z101" s="98"/>
      <c r="AA101" s="98"/>
      <c r="AB101" s="98"/>
      <c r="AC101" s="98"/>
      <c r="AD101" s="98"/>
      <c r="AE101" s="98"/>
      <c r="AF101" s="79"/>
      <c r="CF101" s="94"/>
      <c r="CG101" s="94"/>
    </row>
    <row r="102" spans="2:85" ht="15" customHeight="1" x14ac:dyDescent="0.2">
      <c r="B102" s="76"/>
      <c r="C102" s="98"/>
      <c r="D102" s="98"/>
      <c r="E102" s="85" t="s">
        <v>255</v>
      </c>
      <c r="F102" s="77"/>
      <c r="G102" s="98"/>
      <c r="H102" s="71" t="str">
        <f>IF(P46&gt;R46,N46,IF(R46&gt;P46,T46,IF(AND(P46=R46,L43&gt;V43),T46,IF(AND(P46=R46,L43&lt;V43),N46,""))))</f>
        <v/>
      </c>
      <c r="I102" s="77"/>
      <c r="J102" s="98"/>
      <c r="K102" s="78"/>
      <c r="L102" s="77"/>
      <c r="M102" s="98"/>
      <c r="N102" s="98"/>
      <c r="O102" s="98"/>
      <c r="P102" s="98"/>
      <c r="Q102" s="127"/>
      <c r="R102" s="98"/>
      <c r="S102" s="98"/>
      <c r="T102" s="77" t="s">
        <v>267</v>
      </c>
      <c r="U102" s="77"/>
      <c r="V102" s="77"/>
      <c r="W102" s="70" t="str">
        <f>IF(P145&lt;&gt;"",IF(P146&gt;R146,N146,IF(R146&gt;P146,T146,IF(AND(P146=R146,L143&gt;V143),T146,IF(AND(P146=R146,L143&lt;V143),N146,"")))),"")</f>
        <v/>
      </c>
      <c r="X102" s="77"/>
      <c r="Y102" s="98"/>
      <c r="Z102" s="98"/>
      <c r="AA102" s="98"/>
      <c r="AB102" s="98"/>
      <c r="AC102" s="98"/>
      <c r="AD102" s="98"/>
      <c r="AE102" s="98"/>
      <c r="AF102" s="79"/>
      <c r="CF102" s="94"/>
      <c r="CG102" s="94"/>
    </row>
    <row r="103" spans="2:85" ht="15" customHeight="1" x14ac:dyDescent="0.2">
      <c r="B103" s="76"/>
      <c r="C103" s="98"/>
      <c r="D103" s="77"/>
      <c r="E103" s="85" t="s">
        <v>256</v>
      </c>
      <c r="F103" s="77"/>
      <c r="G103" s="98"/>
      <c r="H103" s="71" t="str">
        <f>IF(P56&gt;R56,N56,IF(R56&gt;P56,T56,IF(AND(P56=R56,L53&gt;V53),T56,IF(AND(P56=R56,L53&lt;V53),N56,""))))</f>
        <v/>
      </c>
      <c r="I103" s="77"/>
      <c r="J103" s="98"/>
      <c r="K103" s="78"/>
      <c r="L103" s="77"/>
      <c r="M103" s="98"/>
      <c r="N103" s="98"/>
      <c r="O103" s="98"/>
      <c r="P103" s="98"/>
      <c r="Q103" s="127"/>
      <c r="R103" s="98"/>
      <c r="S103" s="98"/>
      <c r="T103" s="98"/>
      <c r="U103" s="98"/>
      <c r="V103" s="98"/>
      <c r="W103" s="125"/>
      <c r="X103" s="98"/>
      <c r="Y103" s="98"/>
      <c r="Z103" s="98"/>
      <c r="AA103" s="98"/>
      <c r="AB103" s="98"/>
      <c r="AC103" s="98"/>
      <c r="AD103" s="98"/>
      <c r="AE103" s="98"/>
      <c r="AF103" s="79"/>
      <c r="CF103" s="94"/>
      <c r="CG103" s="94"/>
    </row>
    <row r="104" spans="2:85" ht="15" customHeight="1" x14ac:dyDescent="0.2">
      <c r="B104" s="76"/>
      <c r="C104" s="77"/>
      <c r="D104" s="77"/>
      <c r="E104" s="85" t="s">
        <v>257</v>
      </c>
      <c r="F104" s="77"/>
      <c r="G104" s="77"/>
      <c r="H104" s="70" t="str">
        <f>IF(P66&gt;R66,N66,IF(R66&gt;P66,T66,IF(AND(P66=R66,L63&gt;V63),T66,IF(AND(P66=R66,L63&lt;V63),N66,""))))</f>
        <v/>
      </c>
      <c r="I104" s="77"/>
      <c r="J104" s="77"/>
      <c r="K104" s="78"/>
      <c r="L104" s="77"/>
      <c r="M104" s="77"/>
      <c r="N104" s="77"/>
      <c r="O104" s="77"/>
      <c r="P104" s="77"/>
      <c r="Q104" s="110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96"/>
      <c r="AC104" s="96"/>
      <c r="AD104" s="96"/>
      <c r="AE104" s="96"/>
      <c r="AF104" s="79"/>
      <c r="CF104" s="94"/>
      <c r="CG104" s="94"/>
    </row>
    <row r="105" spans="2:85" ht="15" customHeight="1" x14ac:dyDescent="0.2">
      <c r="B105" s="76"/>
      <c r="C105" s="77"/>
      <c r="D105" s="77"/>
      <c r="E105" s="85" t="s">
        <v>258</v>
      </c>
      <c r="F105" s="77"/>
      <c r="G105" s="77"/>
      <c r="H105" s="70" t="str">
        <f>IF(P76&gt;R76,N76,IF(R76&gt;P76,T76,IF(AND(P76=R76,L73&gt;V73),T76,IF(AND(P76=R76,L73&lt;V73),N76,""))))</f>
        <v/>
      </c>
      <c r="I105" s="77"/>
      <c r="J105" s="78"/>
      <c r="K105" s="78"/>
      <c r="L105" s="77"/>
      <c r="M105" s="78"/>
      <c r="N105" s="78"/>
      <c r="O105" s="77"/>
      <c r="P105" s="77"/>
      <c r="Q105" s="110"/>
      <c r="R105" s="77"/>
      <c r="S105" s="77"/>
      <c r="T105" s="83"/>
      <c r="U105" s="83"/>
      <c r="V105" s="77"/>
      <c r="W105" s="77"/>
      <c r="X105" s="77"/>
      <c r="Y105" s="77"/>
      <c r="Z105" s="77"/>
      <c r="AA105" s="77"/>
      <c r="AB105" s="96"/>
      <c r="AC105" s="96"/>
      <c r="AD105" s="96"/>
      <c r="AE105" s="96"/>
      <c r="AF105" s="79"/>
      <c r="CF105" s="94"/>
      <c r="CG105" s="94"/>
    </row>
    <row r="106" spans="2:85" ht="15" customHeight="1" x14ac:dyDescent="0.2">
      <c r="B106" s="76"/>
      <c r="C106" s="77"/>
      <c r="D106" s="77"/>
      <c r="E106" s="85" t="s">
        <v>259</v>
      </c>
      <c r="F106" s="77"/>
      <c r="G106" s="77"/>
      <c r="H106" s="70" t="str">
        <f>IF(P86&gt;R86,N86,IF(R86&gt;P86,T86,IF(AND(P86=R86,L83&gt;V83),T86,IF(AND(P86=R86,L83&lt;V83),N86,""))))</f>
        <v/>
      </c>
      <c r="I106" s="77"/>
      <c r="J106" s="78"/>
      <c r="K106" s="78"/>
      <c r="L106" s="77"/>
      <c r="M106" s="78"/>
      <c r="N106" s="78"/>
      <c r="O106" s="132"/>
      <c r="P106" s="77"/>
      <c r="Q106" s="110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96"/>
      <c r="AC106" s="96"/>
      <c r="AD106" s="96"/>
      <c r="AE106" s="96"/>
      <c r="AF106" s="79"/>
      <c r="CF106" s="94"/>
      <c r="CG106" s="94"/>
    </row>
    <row r="107" spans="2:85" ht="15" customHeight="1" x14ac:dyDescent="0.2">
      <c r="B107" s="76"/>
      <c r="C107" s="77"/>
      <c r="D107" s="77"/>
      <c r="E107" s="77"/>
      <c r="F107" s="77"/>
      <c r="G107" s="77"/>
      <c r="H107" s="77"/>
      <c r="I107" s="77"/>
      <c r="J107" s="181"/>
      <c r="K107" s="181"/>
      <c r="L107" s="181"/>
      <c r="M107" s="181"/>
      <c r="N107" s="181"/>
      <c r="O107" s="132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96"/>
      <c r="AC107" s="96"/>
      <c r="AD107" s="133"/>
      <c r="AE107" s="133"/>
      <c r="AF107" s="79"/>
      <c r="CF107" s="94"/>
      <c r="CG107" s="94"/>
    </row>
    <row r="108" spans="2:85" ht="15" customHeight="1" x14ac:dyDescent="0.2">
      <c r="B108" s="76"/>
      <c r="C108" s="77"/>
      <c r="D108" s="77"/>
      <c r="E108" s="77"/>
      <c r="F108" s="77"/>
      <c r="G108" s="77"/>
      <c r="H108" s="77"/>
      <c r="I108" s="77"/>
      <c r="J108" s="77"/>
      <c r="K108" s="78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9"/>
      <c r="CF108" s="94"/>
      <c r="CG108" s="94"/>
    </row>
    <row r="109" spans="2:85" ht="15" customHeight="1" x14ac:dyDescent="0.2">
      <c r="B109" s="182" t="s">
        <v>249</v>
      </c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83"/>
      <c r="O109" s="183"/>
      <c r="P109" s="183"/>
      <c r="Q109" s="183"/>
      <c r="R109" s="183"/>
      <c r="S109" s="183"/>
      <c r="T109" s="183"/>
      <c r="U109" s="183"/>
      <c r="V109" s="183"/>
      <c r="W109" s="183"/>
      <c r="X109" s="183"/>
      <c r="Y109" s="183"/>
      <c r="Z109" s="183"/>
      <c r="AA109" s="183"/>
      <c r="AB109" s="183"/>
      <c r="AC109" s="183"/>
      <c r="AD109" s="183"/>
      <c r="AE109" s="183"/>
      <c r="AF109" s="184"/>
      <c r="CF109" s="94"/>
      <c r="CG109" s="94"/>
    </row>
    <row r="110" spans="2:85" ht="15" customHeight="1" x14ac:dyDescent="0.2">
      <c r="B110" s="76"/>
      <c r="C110" s="77"/>
      <c r="D110" s="77"/>
      <c r="E110" s="77"/>
      <c r="F110" s="77"/>
      <c r="G110" s="77"/>
      <c r="H110" s="77"/>
      <c r="I110" s="77"/>
      <c r="J110" s="77"/>
      <c r="K110" s="78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9"/>
      <c r="CF110" s="94"/>
      <c r="CG110" s="94"/>
    </row>
    <row r="111" spans="2:85" ht="15" customHeight="1" x14ac:dyDescent="0.2">
      <c r="B111" s="76"/>
      <c r="C111" s="185" t="s">
        <v>272</v>
      </c>
      <c r="D111" s="185"/>
      <c r="E111" s="185"/>
      <c r="F111" s="185"/>
      <c r="G111" s="185"/>
      <c r="H111" s="185"/>
      <c r="I111" s="185"/>
      <c r="J111" s="185"/>
      <c r="K111" s="185"/>
      <c r="L111" s="185"/>
      <c r="M111" s="185"/>
      <c r="N111" s="185"/>
      <c r="O111" s="185"/>
      <c r="P111" s="185"/>
      <c r="Q111" s="77"/>
      <c r="R111" s="185" t="s">
        <v>271</v>
      </c>
      <c r="S111" s="185"/>
      <c r="T111" s="185"/>
      <c r="U111" s="185"/>
      <c r="V111" s="185"/>
      <c r="W111" s="185"/>
      <c r="X111" s="185"/>
      <c r="Y111" s="185"/>
      <c r="Z111" s="185"/>
      <c r="AA111" s="185"/>
      <c r="AB111" s="185"/>
      <c r="AC111" s="185"/>
      <c r="AD111" s="185"/>
      <c r="AE111" s="185"/>
      <c r="AF111" s="79"/>
      <c r="CF111" s="94"/>
      <c r="CG111" s="94"/>
    </row>
    <row r="112" spans="2:85" ht="15" customHeight="1" x14ac:dyDescent="0.2">
      <c r="B112" s="76"/>
      <c r="C112" s="100"/>
      <c r="D112" s="100"/>
      <c r="E112" s="100"/>
      <c r="F112" s="100"/>
      <c r="G112" s="100"/>
      <c r="H112" s="46"/>
      <c r="I112" s="100"/>
      <c r="J112" s="100"/>
      <c r="K112" s="100"/>
      <c r="L112" s="100"/>
      <c r="M112" s="100"/>
      <c r="N112" s="100"/>
      <c r="O112" s="100"/>
      <c r="P112" s="100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101"/>
      <c r="AC112" s="96"/>
      <c r="AD112" s="96"/>
      <c r="AE112" s="96"/>
      <c r="AF112" s="79"/>
      <c r="CF112" s="94"/>
      <c r="CG112" s="94"/>
    </row>
    <row r="113" spans="2:85" ht="15" customHeight="1" x14ac:dyDescent="0.2">
      <c r="B113" s="76"/>
      <c r="C113" s="105"/>
      <c r="D113" s="106" t="s">
        <v>260</v>
      </c>
      <c r="E113" s="106"/>
      <c r="F113" s="107"/>
      <c r="G113" s="108"/>
      <c r="H113" s="59" t="str">
        <f>IF(H94&lt;&gt;"",H94,"")</f>
        <v/>
      </c>
      <c r="I113" s="77"/>
      <c r="J113" s="84"/>
      <c r="K113" s="84" t="s">
        <v>0</v>
      </c>
      <c r="L113" s="84"/>
      <c r="M113" s="77"/>
      <c r="N113" s="10" t="str">
        <f>Z113</f>
        <v/>
      </c>
      <c r="O113" s="77"/>
      <c r="P113" s="77"/>
      <c r="Q113" s="77"/>
      <c r="R113" s="77"/>
      <c r="S113" s="77"/>
      <c r="T113" s="55" t="str">
        <f>H113</f>
        <v/>
      </c>
      <c r="U113" s="77"/>
      <c r="V113" s="84"/>
      <c r="W113" s="84" t="s">
        <v>0</v>
      </c>
      <c r="X113" s="84"/>
      <c r="Y113" s="77"/>
      <c r="Z113" s="60" t="str">
        <f>IF(N94&lt;&gt;"",N94,"")</f>
        <v/>
      </c>
      <c r="AA113" s="110"/>
      <c r="AB113" s="110"/>
      <c r="AC113" s="106" t="str">
        <f>D113</f>
        <v>Viertelfinale 1</v>
      </c>
      <c r="AD113" s="106"/>
      <c r="AE113" s="111"/>
      <c r="AF113" s="79"/>
      <c r="CF113" s="94"/>
      <c r="CG113" s="94"/>
    </row>
    <row r="114" spans="2:85" ht="15" customHeight="1" x14ac:dyDescent="0.2">
      <c r="B114" s="76"/>
      <c r="C114" s="112"/>
      <c r="D114" s="110" t="str">
        <f>D84</f>
        <v>Datum</v>
      </c>
      <c r="E114" s="110" t="s">
        <v>8</v>
      </c>
      <c r="F114" s="113"/>
      <c r="G114" s="77"/>
      <c r="H114" s="77"/>
      <c r="I114" s="77"/>
      <c r="J114" s="77"/>
      <c r="K114" s="78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112"/>
      <c r="AC114" s="110" t="str">
        <f>D114</f>
        <v>Datum</v>
      </c>
      <c r="AD114" s="110" t="s">
        <v>8</v>
      </c>
      <c r="AE114" s="113"/>
      <c r="AF114" s="79"/>
      <c r="CF114" s="94"/>
      <c r="CG114" s="94"/>
    </row>
    <row r="115" spans="2:85" ht="15" customHeight="1" x14ac:dyDescent="0.2">
      <c r="B115" s="76"/>
      <c r="C115" s="112"/>
      <c r="D115" s="110" t="str">
        <f t="shared" ref="D115:D116" si="0">D85</f>
        <v>Zeit</v>
      </c>
      <c r="E115" s="110" t="s">
        <v>8</v>
      </c>
      <c r="F115" s="114"/>
      <c r="G115" s="77"/>
      <c r="H115" s="115"/>
      <c r="I115" s="115"/>
      <c r="J115" s="115"/>
      <c r="K115" s="97"/>
      <c r="L115" s="115"/>
      <c r="M115" s="115"/>
      <c r="N115" s="115" t="s">
        <v>287</v>
      </c>
      <c r="O115" s="115" t="s">
        <v>8</v>
      </c>
      <c r="P115" s="47" t="str">
        <f>IF(AND(P116&lt;&gt;"",R116&lt;&gt;""),IF(P116&gt;R116,N116&amp;" win",IF(R116&gt;P116,T116&amp;" win",IF(AND(P116=R116,L113&gt;V113),T116&amp;" win on away goals",IF(AND(P116=R116,L113&lt;V113),N116&amp;" win on away goals","")))),"")</f>
        <v/>
      </c>
      <c r="Q115" s="47"/>
      <c r="R115" s="47"/>
      <c r="S115" s="115"/>
      <c r="T115" s="115"/>
      <c r="U115" s="115"/>
      <c r="V115" s="115"/>
      <c r="W115" s="115"/>
      <c r="X115" s="115"/>
      <c r="Y115" s="115"/>
      <c r="Z115" s="115"/>
      <c r="AA115" s="77"/>
      <c r="AB115" s="112"/>
      <c r="AC115" s="110" t="str">
        <f t="shared" ref="AC115:AC116" si="1">D115</f>
        <v>Zeit</v>
      </c>
      <c r="AD115" s="110" t="s">
        <v>8</v>
      </c>
      <c r="AE115" s="116"/>
      <c r="AF115" s="79"/>
      <c r="CF115" s="94"/>
      <c r="CG115" s="94"/>
    </row>
    <row r="116" spans="2:85" ht="15" customHeight="1" x14ac:dyDescent="0.2">
      <c r="B116" s="76"/>
      <c r="C116" s="112"/>
      <c r="D116" s="110" t="str">
        <f t="shared" si="0"/>
        <v>Stadion</v>
      </c>
      <c r="E116" s="110" t="s">
        <v>8</v>
      </c>
      <c r="F116" s="116" t="str">
        <f>IF(H113&lt;&gt;"",VLOOKUP(H113,'Club Namen'!$B$3:$C$34,2,FALSE),"")</f>
        <v/>
      </c>
      <c r="G116" s="77"/>
      <c r="H116" s="77"/>
      <c r="I116" s="77"/>
      <c r="J116" s="78"/>
      <c r="K116" s="117"/>
      <c r="L116" s="118"/>
      <c r="M116" s="78" t="e">
        <f>IF(SUM(#REF!)=12,#REF!,"Group A Winner")</f>
        <v>#REF!</v>
      </c>
      <c r="N116" s="55" t="str">
        <f>H113</f>
        <v/>
      </c>
      <c r="O116" s="96"/>
      <c r="P116" s="11" t="str">
        <f>IF(P117="","",IF(AND(P117=R117,P117&lt;&gt;"",R117&lt;&gt;""),IF(AND(L113=V113,J113=X113),IF(AND(P118=R118,P118&lt;&gt;"",R118&lt;&gt;""),IF(AND(P119=R119,P119&lt;&gt;"",R119&lt;&gt;""),"",P117+P118+P119),P117+P118),P117),P117))</f>
        <v/>
      </c>
      <c r="Q116" s="23" t="s">
        <v>0</v>
      </c>
      <c r="R116" s="11" t="str">
        <f>IF(R117="","",IF(AND(P117=R117,P117&lt;&gt;"",R117&lt;&gt;""),IF(AND(L113=V113,J113=X113),IF(AND(P118=R118,P118&lt;&gt;"",R118&lt;&gt;""),IF(AND(P119=R119,P119&lt;&gt;"",R119&lt;&gt;""),"",R117+R118+R119),R117+R118),R117),R117))</f>
        <v/>
      </c>
      <c r="S116" s="96"/>
      <c r="T116" s="31" t="str">
        <f>Z113</f>
        <v/>
      </c>
      <c r="U116" s="77"/>
      <c r="V116" s="77"/>
      <c r="W116" s="77"/>
      <c r="X116" s="77"/>
      <c r="Y116" s="77"/>
      <c r="Z116" s="77"/>
      <c r="AA116" s="77"/>
      <c r="AB116" s="112"/>
      <c r="AC116" s="110" t="str">
        <f t="shared" si="1"/>
        <v>Stadion</v>
      </c>
      <c r="AD116" s="110" t="s">
        <v>8</v>
      </c>
      <c r="AE116" s="116" t="str">
        <f>IF(Z113&lt;&gt;"",VLOOKUP(Z113,'Club Namen'!$B$3:$C$34,2,FALSE),"")</f>
        <v/>
      </c>
      <c r="AF116" s="79"/>
      <c r="CF116" s="94"/>
      <c r="CG116" s="94"/>
    </row>
    <row r="117" spans="2:85" ht="15" customHeight="1" x14ac:dyDescent="0.2">
      <c r="B117" s="76"/>
      <c r="C117" s="112"/>
      <c r="D117" s="110"/>
      <c r="E117" s="110"/>
      <c r="F117" s="116" t="str">
        <f>IF(H113&lt;&gt;"",VLOOKUP(H113,'Club Namen'!$B$3:$D$34,3,FALSE),"")</f>
        <v/>
      </c>
      <c r="G117" s="77"/>
      <c r="H117" s="77"/>
      <c r="I117" s="77"/>
      <c r="J117" s="77"/>
      <c r="K117" s="119"/>
      <c r="L117" s="118"/>
      <c r="M117" s="77"/>
      <c r="N117" s="156" t="s">
        <v>246</v>
      </c>
      <c r="O117" s="120"/>
      <c r="P117" s="23" t="str">
        <f>IF(AND(J113&lt;&gt;"",V113&lt;&gt;""),J113+V113,"")</f>
        <v/>
      </c>
      <c r="Q117" s="23" t="s">
        <v>0</v>
      </c>
      <c r="R117" s="23" t="str">
        <f>IF(AND(L113&lt;&gt;"",X113&lt;&gt;""),L113+X113,"")</f>
        <v/>
      </c>
      <c r="S117" s="77"/>
      <c r="T117" s="77"/>
      <c r="U117" s="77"/>
      <c r="V117" s="77"/>
      <c r="W117" s="77"/>
      <c r="X117" s="77"/>
      <c r="Y117" s="77"/>
      <c r="Z117" s="77"/>
      <c r="AA117" s="77"/>
      <c r="AB117" s="112"/>
      <c r="AC117" s="110"/>
      <c r="AD117" s="110"/>
      <c r="AE117" s="116" t="str">
        <f>IF(Z113&lt;&gt;"",VLOOKUP(Z113,'Club Namen'!$B$3:$D$34,3,FALSE),"")</f>
        <v/>
      </c>
      <c r="AF117" s="79"/>
      <c r="CF117" s="94"/>
      <c r="CG117" s="94"/>
    </row>
    <row r="118" spans="2:85" ht="15" customHeight="1" x14ac:dyDescent="0.2">
      <c r="B118" s="76"/>
      <c r="C118" s="112"/>
      <c r="D118" s="110"/>
      <c r="E118" s="110"/>
      <c r="F118" s="114"/>
      <c r="G118" s="77"/>
      <c r="H118" s="77"/>
      <c r="I118" s="77"/>
      <c r="J118" s="77"/>
      <c r="K118" s="119"/>
      <c r="L118" s="118"/>
      <c r="M118" s="77"/>
      <c r="N118" s="156" t="s">
        <v>247</v>
      </c>
      <c r="O118" s="120"/>
      <c r="P118" s="84"/>
      <c r="Q118" s="84" t="s">
        <v>0</v>
      </c>
      <c r="R118" s="84"/>
      <c r="S118" s="77"/>
      <c r="T118" s="77"/>
      <c r="U118" s="77"/>
      <c r="V118" s="77"/>
      <c r="W118" s="77"/>
      <c r="X118" s="77"/>
      <c r="Y118" s="77"/>
      <c r="Z118" s="77"/>
      <c r="AA118" s="77"/>
      <c r="AB118" s="112"/>
      <c r="AC118" s="110"/>
      <c r="AD118" s="110"/>
      <c r="AE118" s="114"/>
      <c r="AF118" s="79"/>
      <c r="CF118" s="94"/>
      <c r="CG118" s="94"/>
    </row>
    <row r="119" spans="2:85" ht="15" customHeight="1" x14ac:dyDescent="0.2">
      <c r="B119" s="76"/>
      <c r="C119" s="121"/>
      <c r="D119" s="122"/>
      <c r="E119" s="122"/>
      <c r="F119" s="123"/>
      <c r="G119" s="77"/>
      <c r="H119" s="77"/>
      <c r="I119" s="77"/>
      <c r="J119" s="77"/>
      <c r="K119" s="119"/>
      <c r="L119" s="118"/>
      <c r="M119" s="77"/>
      <c r="N119" s="156" t="s">
        <v>248</v>
      </c>
      <c r="O119" s="120"/>
      <c r="P119" s="84"/>
      <c r="Q119" s="84" t="s">
        <v>0</v>
      </c>
      <c r="R119" s="84"/>
      <c r="S119" s="77"/>
      <c r="T119" s="77"/>
      <c r="U119" s="77"/>
      <c r="V119" s="77"/>
      <c r="W119" s="77"/>
      <c r="X119" s="77"/>
      <c r="Y119" s="77"/>
      <c r="Z119" s="77"/>
      <c r="AA119" s="77"/>
      <c r="AB119" s="121"/>
      <c r="AC119" s="122"/>
      <c r="AD119" s="122"/>
      <c r="AE119" s="123"/>
      <c r="AF119" s="79"/>
      <c r="CF119" s="94"/>
      <c r="CG119" s="94"/>
    </row>
    <row r="120" spans="2:85" ht="15" customHeight="1" x14ac:dyDescent="0.2">
      <c r="B120" s="76"/>
      <c r="C120" s="77"/>
      <c r="D120" s="77"/>
      <c r="E120" s="77"/>
      <c r="F120" s="77"/>
      <c r="G120" s="77"/>
      <c r="H120" s="77"/>
      <c r="I120" s="77"/>
      <c r="J120" s="77"/>
      <c r="K120" s="78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9"/>
      <c r="CF120" s="94"/>
      <c r="CG120" s="94"/>
    </row>
    <row r="121" spans="2:85" ht="15" customHeight="1" x14ac:dyDescent="0.2">
      <c r="B121" s="76"/>
      <c r="C121" s="185" t="s">
        <v>272</v>
      </c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77"/>
      <c r="R121" s="185" t="s">
        <v>271</v>
      </c>
      <c r="S121" s="185"/>
      <c r="T121" s="185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79"/>
      <c r="CF121" s="94"/>
      <c r="CG121" s="94"/>
    </row>
    <row r="122" spans="2:85" ht="15" customHeight="1" x14ac:dyDescent="0.2">
      <c r="B122" s="76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101"/>
      <c r="AC122" s="96"/>
      <c r="AD122" s="96"/>
      <c r="AE122" s="96"/>
      <c r="AF122" s="79"/>
      <c r="CF122" s="94"/>
      <c r="CG122" s="94"/>
    </row>
    <row r="123" spans="2:85" ht="15" customHeight="1" x14ac:dyDescent="0.2">
      <c r="B123" s="76"/>
      <c r="C123" s="105"/>
      <c r="D123" s="106" t="s">
        <v>261</v>
      </c>
      <c r="E123" s="106"/>
      <c r="F123" s="107"/>
      <c r="G123" s="108"/>
      <c r="H123" s="59" t="str">
        <f>IF(H95&lt;&gt;"",H95,"")</f>
        <v/>
      </c>
      <c r="I123" s="77"/>
      <c r="J123" s="84"/>
      <c r="K123" s="84" t="s">
        <v>0</v>
      </c>
      <c r="L123" s="84"/>
      <c r="M123" s="77"/>
      <c r="N123" s="10" t="str">
        <f>Z123</f>
        <v/>
      </c>
      <c r="O123" s="77"/>
      <c r="P123" s="77"/>
      <c r="Q123" s="77"/>
      <c r="R123" s="77"/>
      <c r="S123" s="77"/>
      <c r="T123" s="55" t="str">
        <f>H123</f>
        <v/>
      </c>
      <c r="U123" s="77"/>
      <c r="V123" s="84"/>
      <c r="W123" s="84" t="s">
        <v>0</v>
      </c>
      <c r="X123" s="84"/>
      <c r="Y123" s="77"/>
      <c r="Z123" s="60" t="str">
        <f>IF(N95&lt;&gt;"",N95,"")</f>
        <v/>
      </c>
      <c r="AA123" s="110"/>
      <c r="AB123" s="110"/>
      <c r="AC123" s="106" t="str">
        <f>D123</f>
        <v>Viertelfinale 2</v>
      </c>
      <c r="AD123" s="106"/>
      <c r="AE123" s="111"/>
      <c r="AF123" s="79"/>
      <c r="CF123" s="94"/>
      <c r="CG123" s="94"/>
    </row>
    <row r="124" spans="2:85" ht="15" customHeight="1" x14ac:dyDescent="0.2">
      <c r="B124" s="76"/>
      <c r="C124" s="112"/>
      <c r="D124" s="110" t="str">
        <f>D114</f>
        <v>Datum</v>
      </c>
      <c r="E124" s="110" t="s">
        <v>8</v>
      </c>
      <c r="F124" s="113"/>
      <c r="G124" s="77"/>
      <c r="H124" s="77"/>
      <c r="I124" s="77"/>
      <c r="J124" s="77"/>
      <c r="K124" s="78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112"/>
      <c r="AC124" s="110" t="str">
        <f>AC114</f>
        <v>Datum</v>
      </c>
      <c r="AD124" s="110" t="s">
        <v>8</v>
      </c>
      <c r="AE124" s="113"/>
      <c r="AF124" s="79"/>
      <c r="CF124" s="94"/>
      <c r="CG124" s="94"/>
    </row>
    <row r="125" spans="2:85" ht="15" customHeight="1" x14ac:dyDescent="0.2">
      <c r="B125" s="76"/>
      <c r="C125" s="112"/>
      <c r="D125" s="110" t="str">
        <f t="shared" ref="D125:D126" si="2">D115</f>
        <v>Zeit</v>
      </c>
      <c r="E125" s="110" t="s">
        <v>8</v>
      </c>
      <c r="F125" s="114"/>
      <c r="G125" s="77"/>
      <c r="H125" s="115"/>
      <c r="I125" s="115"/>
      <c r="J125" s="115"/>
      <c r="K125" s="97"/>
      <c r="L125" s="115"/>
      <c r="M125" s="115"/>
      <c r="N125" s="115" t="s">
        <v>287</v>
      </c>
      <c r="O125" s="115" t="s">
        <v>8</v>
      </c>
      <c r="P125" s="47" t="str">
        <f>IF(AND(P126&lt;&gt;"",R126&lt;&gt;""),IF(P126&gt;R126,N126&amp;" win",IF(R126&gt;P126,T126&amp;" win",IF(AND(P126=R126,L123&gt;V123),T126&amp;" win on away goals",IF(AND(P126=R126,L123&lt;V123),N126&amp;" win on away goals","")))),"")</f>
        <v/>
      </c>
      <c r="Q125" s="47"/>
      <c r="R125" s="47"/>
      <c r="S125" s="115"/>
      <c r="T125" s="115"/>
      <c r="U125" s="115"/>
      <c r="V125" s="115"/>
      <c r="W125" s="115"/>
      <c r="X125" s="115"/>
      <c r="Y125" s="115"/>
      <c r="Z125" s="115"/>
      <c r="AA125" s="77"/>
      <c r="AB125" s="112"/>
      <c r="AC125" s="110" t="str">
        <f t="shared" ref="AC125:AC126" si="3">AC115</f>
        <v>Zeit</v>
      </c>
      <c r="AD125" s="110" t="s">
        <v>8</v>
      </c>
      <c r="AE125" s="116"/>
      <c r="AF125" s="79"/>
      <c r="CF125" s="94"/>
      <c r="CG125" s="94"/>
    </row>
    <row r="126" spans="2:85" ht="15" customHeight="1" x14ac:dyDescent="0.2">
      <c r="B126" s="76"/>
      <c r="C126" s="112"/>
      <c r="D126" s="110" t="str">
        <f t="shared" si="2"/>
        <v>Stadion</v>
      </c>
      <c r="E126" s="110" t="s">
        <v>8</v>
      </c>
      <c r="F126" s="116" t="str">
        <f>IF(H123&lt;&gt;"",VLOOKUP(H123,'Club Namen'!$B$3:$C$34,2,FALSE),"")</f>
        <v/>
      </c>
      <c r="G126" s="77"/>
      <c r="H126" s="77"/>
      <c r="I126" s="77"/>
      <c r="J126" s="78"/>
      <c r="K126" s="117"/>
      <c r="L126" s="118"/>
      <c r="M126" s="78" t="e">
        <f>IF(SUM(#REF!)=12,#REF!,"Group A Winner")</f>
        <v>#REF!</v>
      </c>
      <c r="N126" s="55" t="str">
        <f>H123</f>
        <v/>
      </c>
      <c r="O126" s="96"/>
      <c r="P126" s="11" t="str">
        <f>IF(P127="","",IF(AND(P127=R127,P127&lt;&gt;"",R127&lt;&gt;""),IF(AND(L123=V123,J123=X123),IF(AND(P128=R128,P128&lt;&gt;"",R128&lt;&gt;""),IF(AND(P129=R129,P129&lt;&gt;"",R129&lt;&gt;""),"",P127+P128+P129),P127+P128),P127),P127))</f>
        <v/>
      </c>
      <c r="Q126" s="23" t="s">
        <v>0</v>
      </c>
      <c r="R126" s="11" t="str">
        <f>IF(R127="","",IF(AND(P127=R127,P127&lt;&gt;"",R127&lt;&gt;""),IF(AND(L123=V123,J123=X123),IF(AND(P128=R128,P128&lt;&gt;"",R128&lt;&gt;""),IF(AND(P129=R129,P129&lt;&gt;"",R129&lt;&gt;""),"",R127+R128+R129),R127+R128),R127),R127))</f>
        <v/>
      </c>
      <c r="S126" s="96"/>
      <c r="T126" s="31" t="str">
        <f>Z123</f>
        <v/>
      </c>
      <c r="U126" s="77"/>
      <c r="V126" s="77"/>
      <c r="W126" s="77"/>
      <c r="X126" s="77"/>
      <c r="Y126" s="77"/>
      <c r="Z126" s="77"/>
      <c r="AA126" s="77"/>
      <c r="AB126" s="112"/>
      <c r="AC126" s="110" t="str">
        <f t="shared" si="3"/>
        <v>Stadion</v>
      </c>
      <c r="AD126" s="110" t="s">
        <v>8</v>
      </c>
      <c r="AE126" s="116" t="str">
        <f>IF(Z123&lt;&gt;"",VLOOKUP(Z123,'Club Namen'!$B$3:$C$34,2,FALSE),"")</f>
        <v/>
      </c>
      <c r="AF126" s="79"/>
      <c r="CF126" s="94"/>
      <c r="CG126" s="94"/>
    </row>
    <row r="127" spans="2:85" ht="15" customHeight="1" x14ac:dyDescent="0.2">
      <c r="B127" s="76"/>
      <c r="C127" s="112"/>
      <c r="D127" s="110"/>
      <c r="E127" s="110"/>
      <c r="F127" s="116" t="str">
        <f>IF(H123&lt;&gt;"",VLOOKUP(H123,'Club Namen'!$B$3:$D$34,3,FALSE),"")</f>
        <v/>
      </c>
      <c r="G127" s="77"/>
      <c r="H127" s="77"/>
      <c r="I127" s="77"/>
      <c r="J127" s="77"/>
      <c r="K127" s="119"/>
      <c r="L127" s="118"/>
      <c r="M127" s="77"/>
      <c r="N127" s="156" t="s">
        <v>246</v>
      </c>
      <c r="O127" s="120"/>
      <c r="P127" s="23" t="str">
        <f>IF(AND(J123&lt;&gt;"",V123&lt;&gt;""),J123+V123,"")</f>
        <v/>
      </c>
      <c r="Q127" s="23" t="s">
        <v>0</v>
      </c>
      <c r="R127" s="23" t="str">
        <f>IF(AND(L123&lt;&gt;"",X123&lt;&gt;""),L123+X123,"")</f>
        <v/>
      </c>
      <c r="S127" s="77"/>
      <c r="T127" s="77"/>
      <c r="U127" s="77"/>
      <c r="V127" s="77"/>
      <c r="W127" s="77"/>
      <c r="X127" s="77"/>
      <c r="Y127" s="77"/>
      <c r="Z127" s="77"/>
      <c r="AA127" s="77"/>
      <c r="AB127" s="112"/>
      <c r="AC127" s="110"/>
      <c r="AD127" s="110"/>
      <c r="AE127" s="116" t="str">
        <f>IF(Z123&lt;&gt;"",VLOOKUP(Z123,'Club Namen'!$B$3:$D$34,3,FALSE),"")</f>
        <v/>
      </c>
      <c r="AF127" s="79"/>
      <c r="CF127" s="94"/>
      <c r="CG127" s="94"/>
    </row>
    <row r="128" spans="2:85" ht="15" customHeight="1" x14ac:dyDescent="0.2">
      <c r="B128" s="76"/>
      <c r="C128" s="112"/>
      <c r="D128" s="110"/>
      <c r="E128" s="110"/>
      <c r="F128" s="114"/>
      <c r="G128" s="77"/>
      <c r="H128" s="77"/>
      <c r="I128" s="77"/>
      <c r="J128" s="77"/>
      <c r="K128" s="119"/>
      <c r="L128" s="118"/>
      <c r="M128" s="77"/>
      <c r="N128" s="156" t="s">
        <v>247</v>
      </c>
      <c r="O128" s="120"/>
      <c r="P128" s="84"/>
      <c r="Q128" s="84" t="s">
        <v>0</v>
      </c>
      <c r="R128" s="84"/>
      <c r="S128" s="77"/>
      <c r="T128" s="77"/>
      <c r="U128" s="77"/>
      <c r="V128" s="77"/>
      <c r="W128" s="77"/>
      <c r="X128" s="77"/>
      <c r="Y128" s="77"/>
      <c r="Z128" s="77"/>
      <c r="AA128" s="77"/>
      <c r="AB128" s="112"/>
      <c r="AC128" s="110"/>
      <c r="AD128" s="110"/>
      <c r="AE128" s="114"/>
      <c r="AF128" s="79"/>
      <c r="CF128" s="94"/>
      <c r="CG128" s="94"/>
    </row>
    <row r="129" spans="2:85" ht="15" customHeight="1" x14ac:dyDescent="0.2">
      <c r="B129" s="76"/>
      <c r="C129" s="121"/>
      <c r="D129" s="122"/>
      <c r="E129" s="122"/>
      <c r="F129" s="123"/>
      <c r="G129" s="77"/>
      <c r="H129" s="77"/>
      <c r="I129" s="77"/>
      <c r="J129" s="77"/>
      <c r="K129" s="119"/>
      <c r="L129" s="118"/>
      <c r="M129" s="77"/>
      <c r="N129" s="156" t="s">
        <v>248</v>
      </c>
      <c r="O129" s="120"/>
      <c r="P129" s="84"/>
      <c r="Q129" s="84" t="s">
        <v>0</v>
      </c>
      <c r="R129" s="84"/>
      <c r="S129" s="77"/>
      <c r="T129" s="77"/>
      <c r="U129" s="77"/>
      <c r="V129" s="77"/>
      <c r="W129" s="77"/>
      <c r="X129" s="77"/>
      <c r="Y129" s="77"/>
      <c r="Z129" s="77"/>
      <c r="AA129" s="77"/>
      <c r="AB129" s="121"/>
      <c r="AC129" s="122"/>
      <c r="AD129" s="122"/>
      <c r="AE129" s="123"/>
      <c r="AF129" s="79"/>
      <c r="CF129" s="94"/>
      <c r="CG129" s="94"/>
    </row>
    <row r="130" spans="2:85" ht="15" customHeight="1" x14ac:dyDescent="0.2">
      <c r="B130" s="76"/>
      <c r="C130" s="77"/>
      <c r="D130" s="77"/>
      <c r="E130" s="77"/>
      <c r="F130" s="77"/>
      <c r="G130" s="77"/>
      <c r="H130" s="77"/>
      <c r="I130" s="77"/>
      <c r="J130" s="77"/>
      <c r="K130" s="78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9"/>
      <c r="CF130" s="94"/>
      <c r="CG130" s="94"/>
    </row>
    <row r="131" spans="2:85" ht="15" customHeight="1" x14ac:dyDescent="0.2">
      <c r="B131" s="76"/>
      <c r="C131" s="185" t="s">
        <v>272</v>
      </c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5"/>
      <c r="P131" s="185"/>
      <c r="Q131" s="77"/>
      <c r="R131" s="185" t="s">
        <v>271</v>
      </c>
      <c r="S131" s="185"/>
      <c r="T131" s="185"/>
      <c r="U131" s="185"/>
      <c r="V131" s="185"/>
      <c r="W131" s="185"/>
      <c r="X131" s="185"/>
      <c r="Y131" s="185"/>
      <c r="Z131" s="185"/>
      <c r="AA131" s="185"/>
      <c r="AB131" s="185"/>
      <c r="AC131" s="185"/>
      <c r="AD131" s="185"/>
      <c r="AE131" s="185"/>
      <c r="AF131" s="79"/>
      <c r="CF131" s="94"/>
      <c r="CG131" s="94"/>
    </row>
    <row r="132" spans="2:85" ht="15" customHeight="1" x14ac:dyDescent="0.2">
      <c r="B132" s="76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101"/>
      <c r="AC132" s="96"/>
      <c r="AD132" s="96"/>
      <c r="AE132" s="96"/>
      <c r="AF132" s="79"/>
      <c r="CF132" s="94"/>
      <c r="CG132" s="94"/>
    </row>
    <row r="133" spans="2:85" ht="15" customHeight="1" x14ac:dyDescent="0.2">
      <c r="B133" s="76"/>
      <c r="C133" s="105"/>
      <c r="D133" s="106" t="s">
        <v>262</v>
      </c>
      <c r="E133" s="106"/>
      <c r="F133" s="107"/>
      <c r="G133" s="108"/>
      <c r="H133" s="59" t="str">
        <f>IF(H96&lt;&gt;"",H96,"")</f>
        <v/>
      </c>
      <c r="I133" s="77"/>
      <c r="J133" s="84"/>
      <c r="K133" s="84" t="s">
        <v>0</v>
      </c>
      <c r="L133" s="84"/>
      <c r="M133" s="77"/>
      <c r="N133" s="10" t="str">
        <f>Z133</f>
        <v/>
      </c>
      <c r="O133" s="77"/>
      <c r="P133" s="77"/>
      <c r="Q133" s="77"/>
      <c r="R133" s="77"/>
      <c r="S133" s="77"/>
      <c r="T133" s="55" t="str">
        <f>H133</f>
        <v/>
      </c>
      <c r="U133" s="77"/>
      <c r="V133" s="84"/>
      <c r="W133" s="84" t="s">
        <v>0</v>
      </c>
      <c r="X133" s="84"/>
      <c r="Y133" s="77"/>
      <c r="Z133" s="60" t="str">
        <f>IF(N96&lt;&gt;"",N96,"")</f>
        <v/>
      </c>
      <c r="AA133" s="110"/>
      <c r="AB133" s="110"/>
      <c r="AC133" s="106" t="str">
        <f>D133</f>
        <v>Viertelfinale 3</v>
      </c>
      <c r="AD133" s="106"/>
      <c r="AE133" s="111"/>
      <c r="AF133" s="79"/>
      <c r="CF133" s="94"/>
      <c r="CG133" s="94"/>
    </row>
    <row r="134" spans="2:85" ht="15" customHeight="1" x14ac:dyDescent="0.2">
      <c r="B134" s="76"/>
      <c r="C134" s="112"/>
      <c r="D134" s="110" t="str">
        <f>D124</f>
        <v>Datum</v>
      </c>
      <c r="E134" s="110" t="s">
        <v>8</v>
      </c>
      <c r="F134" s="113"/>
      <c r="G134" s="77"/>
      <c r="H134" s="77"/>
      <c r="I134" s="77"/>
      <c r="J134" s="77"/>
      <c r="K134" s="78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112"/>
      <c r="AC134" s="110" t="str">
        <f>AC124</f>
        <v>Datum</v>
      </c>
      <c r="AD134" s="110" t="s">
        <v>8</v>
      </c>
      <c r="AE134" s="113"/>
      <c r="AF134" s="79"/>
      <c r="CF134" s="94"/>
      <c r="CG134" s="94"/>
    </row>
    <row r="135" spans="2:85" ht="15" customHeight="1" x14ac:dyDescent="0.2">
      <c r="B135" s="76"/>
      <c r="C135" s="112"/>
      <c r="D135" s="110" t="str">
        <f t="shared" ref="D135:D136" si="4">D125</f>
        <v>Zeit</v>
      </c>
      <c r="E135" s="110" t="s">
        <v>8</v>
      </c>
      <c r="F135" s="114"/>
      <c r="G135" s="77"/>
      <c r="H135" s="115"/>
      <c r="I135" s="115"/>
      <c r="J135" s="115"/>
      <c r="K135" s="97"/>
      <c r="L135" s="115"/>
      <c r="M135" s="115"/>
      <c r="N135" s="115" t="s">
        <v>287</v>
      </c>
      <c r="O135" s="115" t="s">
        <v>8</v>
      </c>
      <c r="P135" s="47" t="str">
        <f>IF(AND(P136&lt;&gt;"",R136&lt;&gt;""),IF(P136&gt;R136,N136&amp;" win",IF(R136&gt;P136,T136&amp;" win",IF(AND(P136=R136,L133&gt;V133),T136&amp;" win on away goals",IF(AND(P136=R136,L133&lt;V133),N136&amp;" win on away goals","")))),"")</f>
        <v/>
      </c>
      <c r="Q135" s="47"/>
      <c r="R135" s="47"/>
      <c r="S135" s="115"/>
      <c r="T135" s="115"/>
      <c r="U135" s="115"/>
      <c r="V135" s="115"/>
      <c r="W135" s="115"/>
      <c r="X135" s="115"/>
      <c r="Y135" s="115"/>
      <c r="Z135" s="115"/>
      <c r="AA135" s="77"/>
      <c r="AB135" s="112"/>
      <c r="AC135" s="110" t="str">
        <f t="shared" ref="AC135:AC136" si="5">AC125</f>
        <v>Zeit</v>
      </c>
      <c r="AD135" s="110" t="s">
        <v>8</v>
      </c>
      <c r="AE135" s="116"/>
      <c r="AF135" s="79"/>
      <c r="CF135" s="94"/>
      <c r="CG135" s="94"/>
    </row>
    <row r="136" spans="2:85" ht="15" customHeight="1" x14ac:dyDescent="0.2">
      <c r="B136" s="76"/>
      <c r="C136" s="112"/>
      <c r="D136" s="110" t="str">
        <f t="shared" si="4"/>
        <v>Stadion</v>
      </c>
      <c r="E136" s="110" t="s">
        <v>8</v>
      </c>
      <c r="F136" s="116" t="str">
        <f>IF(H133&lt;&gt;"",VLOOKUP(H133,'Club Namen'!$B$3:$C$34,2,FALSE),"")</f>
        <v/>
      </c>
      <c r="G136" s="77"/>
      <c r="H136" s="77"/>
      <c r="I136" s="77"/>
      <c r="J136" s="78"/>
      <c r="K136" s="117"/>
      <c r="L136" s="118"/>
      <c r="M136" s="78" t="e">
        <f>IF(SUM(#REF!)=12,#REF!,"Group A Winner")</f>
        <v>#REF!</v>
      </c>
      <c r="N136" s="55" t="str">
        <f>H133</f>
        <v/>
      </c>
      <c r="O136" s="96"/>
      <c r="P136" s="11" t="str">
        <f>IF(P137="","",IF(AND(P137=R137,P137&lt;&gt;"",R137&lt;&gt;""),IF(AND(L133=V133,J133=X133),IF(AND(P138=R138,P138&lt;&gt;"",R138&lt;&gt;""),IF(AND(P139=R139,P139&lt;&gt;"",R139&lt;&gt;""),"",P137+P138+P139),P137+P138),P137),P137))</f>
        <v/>
      </c>
      <c r="Q136" s="23" t="s">
        <v>0</v>
      </c>
      <c r="R136" s="11" t="str">
        <f>IF(R137="","",IF(AND(P137=R137,P137&lt;&gt;"",R137&lt;&gt;""),IF(AND(L133=V133,J133=X133),IF(AND(P138=R138,P138&lt;&gt;"",R138&lt;&gt;""),IF(AND(P139=R139,P139&lt;&gt;"",R139&lt;&gt;""),"",R137+R138+R139),R137+R138),R137),R137))</f>
        <v/>
      </c>
      <c r="S136" s="96"/>
      <c r="T136" s="31" t="str">
        <f>Z133</f>
        <v/>
      </c>
      <c r="U136" s="77"/>
      <c r="V136" s="77"/>
      <c r="W136" s="77"/>
      <c r="X136" s="77"/>
      <c r="Y136" s="77"/>
      <c r="Z136" s="77"/>
      <c r="AA136" s="77"/>
      <c r="AB136" s="112"/>
      <c r="AC136" s="110" t="str">
        <f t="shared" si="5"/>
        <v>Stadion</v>
      </c>
      <c r="AD136" s="110" t="s">
        <v>8</v>
      </c>
      <c r="AE136" s="116" t="str">
        <f>IF(Z133&lt;&gt;"",VLOOKUP(Z133,'Club Namen'!$B$3:$C$34,2,FALSE),"")</f>
        <v/>
      </c>
      <c r="AF136" s="79"/>
      <c r="CF136" s="94"/>
      <c r="CG136" s="94"/>
    </row>
    <row r="137" spans="2:85" ht="15" customHeight="1" x14ac:dyDescent="0.2">
      <c r="B137" s="76"/>
      <c r="C137" s="112"/>
      <c r="D137" s="110"/>
      <c r="E137" s="110"/>
      <c r="F137" s="116" t="str">
        <f>IF(H133&lt;&gt;"",VLOOKUP(H133,'Club Namen'!$B$3:$D$34,3,FALSE),"")</f>
        <v/>
      </c>
      <c r="G137" s="77"/>
      <c r="H137" s="77"/>
      <c r="I137" s="77"/>
      <c r="J137" s="77"/>
      <c r="K137" s="119"/>
      <c r="L137" s="118"/>
      <c r="M137" s="77"/>
      <c r="N137" s="156" t="s">
        <v>246</v>
      </c>
      <c r="O137" s="120"/>
      <c r="P137" s="23" t="str">
        <f>IF(AND(J133&lt;&gt;"",V133&lt;&gt;""),J133+V133,"")</f>
        <v/>
      </c>
      <c r="Q137" s="23" t="s">
        <v>0</v>
      </c>
      <c r="R137" s="23" t="str">
        <f>IF(AND(L133&lt;&gt;"",X133&lt;&gt;""),L133+X133,"")</f>
        <v/>
      </c>
      <c r="S137" s="77"/>
      <c r="T137" s="77"/>
      <c r="U137" s="77"/>
      <c r="V137" s="77"/>
      <c r="W137" s="77"/>
      <c r="X137" s="77"/>
      <c r="Y137" s="77"/>
      <c r="Z137" s="77"/>
      <c r="AA137" s="77"/>
      <c r="AB137" s="112"/>
      <c r="AC137" s="110"/>
      <c r="AD137" s="110"/>
      <c r="AE137" s="116" t="str">
        <f>IF(Z133&lt;&gt;"",VLOOKUP(Z133,'Club Namen'!$B$3:$D$34,3,FALSE),"")</f>
        <v/>
      </c>
      <c r="AF137" s="79"/>
      <c r="CF137" s="94"/>
      <c r="CG137" s="94"/>
    </row>
    <row r="138" spans="2:85" ht="15" customHeight="1" x14ac:dyDescent="0.2">
      <c r="B138" s="76"/>
      <c r="C138" s="112"/>
      <c r="D138" s="110"/>
      <c r="E138" s="110"/>
      <c r="F138" s="114"/>
      <c r="G138" s="77"/>
      <c r="H138" s="77"/>
      <c r="I138" s="77"/>
      <c r="J138" s="77"/>
      <c r="K138" s="119"/>
      <c r="L138" s="118"/>
      <c r="M138" s="77"/>
      <c r="N138" s="156" t="s">
        <v>247</v>
      </c>
      <c r="O138" s="120"/>
      <c r="P138" s="84"/>
      <c r="Q138" s="84" t="s">
        <v>0</v>
      </c>
      <c r="R138" s="84"/>
      <c r="S138" s="77"/>
      <c r="T138" s="77"/>
      <c r="U138" s="77"/>
      <c r="V138" s="77"/>
      <c r="W138" s="77"/>
      <c r="X138" s="77"/>
      <c r="Y138" s="77"/>
      <c r="Z138" s="77"/>
      <c r="AA138" s="77"/>
      <c r="AB138" s="112"/>
      <c r="AC138" s="110"/>
      <c r="AD138" s="110"/>
      <c r="AE138" s="114"/>
      <c r="AF138" s="79"/>
      <c r="CF138" s="94"/>
      <c r="CG138" s="94"/>
    </row>
    <row r="139" spans="2:85" ht="15" customHeight="1" x14ac:dyDescent="0.2">
      <c r="B139" s="76"/>
      <c r="C139" s="121"/>
      <c r="D139" s="122"/>
      <c r="E139" s="122"/>
      <c r="F139" s="123"/>
      <c r="G139" s="77"/>
      <c r="H139" s="77"/>
      <c r="I139" s="77"/>
      <c r="J139" s="77"/>
      <c r="K139" s="119"/>
      <c r="L139" s="118"/>
      <c r="M139" s="77"/>
      <c r="N139" s="156" t="s">
        <v>248</v>
      </c>
      <c r="O139" s="120"/>
      <c r="P139" s="84"/>
      <c r="Q139" s="84" t="s">
        <v>0</v>
      </c>
      <c r="R139" s="84"/>
      <c r="S139" s="77"/>
      <c r="T139" s="77"/>
      <c r="U139" s="77"/>
      <c r="V139" s="77"/>
      <c r="W139" s="77"/>
      <c r="X139" s="77"/>
      <c r="Y139" s="77"/>
      <c r="Z139" s="77"/>
      <c r="AA139" s="77"/>
      <c r="AB139" s="121"/>
      <c r="AC139" s="122"/>
      <c r="AD139" s="122"/>
      <c r="AE139" s="123"/>
      <c r="AF139" s="79"/>
      <c r="CF139" s="94"/>
      <c r="CG139" s="94"/>
    </row>
    <row r="140" spans="2:85" ht="15" customHeight="1" x14ac:dyDescent="0.2">
      <c r="B140" s="76"/>
      <c r="C140" s="77"/>
      <c r="D140" s="77"/>
      <c r="E140" s="77"/>
      <c r="F140" s="77"/>
      <c r="G140" s="77"/>
      <c r="H140" s="77"/>
      <c r="I140" s="77"/>
      <c r="J140" s="77"/>
      <c r="K140" s="78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9"/>
      <c r="CF140" s="94"/>
      <c r="CG140" s="94"/>
    </row>
    <row r="141" spans="2:85" ht="15" customHeight="1" x14ac:dyDescent="0.2">
      <c r="B141" s="76"/>
      <c r="C141" s="185" t="s">
        <v>272</v>
      </c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85"/>
      <c r="O141" s="185"/>
      <c r="P141" s="185"/>
      <c r="Q141" s="77"/>
      <c r="R141" s="185" t="s">
        <v>271</v>
      </c>
      <c r="S141" s="185"/>
      <c r="T141" s="185"/>
      <c r="U141" s="185"/>
      <c r="V141" s="185"/>
      <c r="W141" s="185"/>
      <c r="X141" s="185"/>
      <c r="Y141" s="185"/>
      <c r="Z141" s="185"/>
      <c r="AA141" s="185"/>
      <c r="AB141" s="185"/>
      <c r="AC141" s="185"/>
      <c r="AD141" s="185"/>
      <c r="AE141" s="185"/>
      <c r="AF141" s="79"/>
      <c r="CF141" s="94"/>
      <c r="CG141" s="94"/>
    </row>
    <row r="142" spans="2:85" ht="15" customHeight="1" x14ac:dyDescent="0.2">
      <c r="B142" s="76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101"/>
      <c r="AC142" s="96"/>
      <c r="AD142" s="96"/>
      <c r="AE142" s="96"/>
      <c r="AF142" s="79"/>
      <c r="CF142" s="94"/>
      <c r="CG142" s="94"/>
    </row>
    <row r="143" spans="2:85" ht="15" customHeight="1" x14ac:dyDescent="0.2">
      <c r="B143" s="76"/>
      <c r="C143" s="105"/>
      <c r="D143" s="106" t="s">
        <v>263</v>
      </c>
      <c r="E143" s="106"/>
      <c r="F143" s="107"/>
      <c r="G143" s="108"/>
      <c r="H143" s="59" t="str">
        <f>IF(H97&lt;&gt;"",H97,"")</f>
        <v/>
      </c>
      <c r="I143" s="77"/>
      <c r="J143" s="84"/>
      <c r="K143" s="84" t="s">
        <v>0</v>
      </c>
      <c r="L143" s="84"/>
      <c r="M143" s="77"/>
      <c r="N143" s="10" t="str">
        <f>Z143</f>
        <v/>
      </c>
      <c r="O143" s="77"/>
      <c r="P143" s="77"/>
      <c r="Q143" s="77"/>
      <c r="R143" s="77"/>
      <c r="S143" s="77"/>
      <c r="T143" s="55" t="str">
        <f>H143</f>
        <v/>
      </c>
      <c r="U143" s="77"/>
      <c r="V143" s="84"/>
      <c r="W143" s="84" t="s">
        <v>0</v>
      </c>
      <c r="X143" s="84"/>
      <c r="Y143" s="77"/>
      <c r="Z143" s="60" t="str">
        <f>IF(N97&lt;&gt;"",N97,"")</f>
        <v/>
      </c>
      <c r="AA143" s="110"/>
      <c r="AB143" s="110"/>
      <c r="AC143" s="106" t="str">
        <f>D143</f>
        <v>Viertelfinale 4</v>
      </c>
      <c r="AD143" s="106"/>
      <c r="AE143" s="111"/>
      <c r="AF143" s="79"/>
      <c r="CF143" s="94"/>
      <c r="CG143" s="94"/>
    </row>
    <row r="144" spans="2:85" ht="15" customHeight="1" x14ac:dyDescent="0.2">
      <c r="B144" s="76"/>
      <c r="C144" s="112"/>
      <c r="D144" s="110" t="str">
        <f>D134</f>
        <v>Datum</v>
      </c>
      <c r="E144" s="110" t="s">
        <v>8</v>
      </c>
      <c r="F144" s="113"/>
      <c r="G144" s="77"/>
      <c r="H144" s="77"/>
      <c r="I144" s="77"/>
      <c r="J144" s="77"/>
      <c r="K144" s="78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112"/>
      <c r="AC144" s="110" t="str">
        <f>AC134</f>
        <v>Datum</v>
      </c>
      <c r="AD144" s="110" t="s">
        <v>8</v>
      </c>
      <c r="AE144" s="113"/>
      <c r="AF144" s="79"/>
      <c r="CF144" s="94"/>
      <c r="CG144" s="94"/>
    </row>
    <row r="145" spans="2:108" ht="15" customHeight="1" x14ac:dyDescent="0.2">
      <c r="B145" s="76"/>
      <c r="C145" s="112"/>
      <c r="D145" s="110" t="str">
        <f t="shared" ref="D145:D146" si="6">D135</f>
        <v>Zeit</v>
      </c>
      <c r="E145" s="110" t="s">
        <v>8</v>
      </c>
      <c r="F145" s="114"/>
      <c r="G145" s="77"/>
      <c r="H145" s="115"/>
      <c r="I145" s="115"/>
      <c r="J145" s="115"/>
      <c r="K145" s="97"/>
      <c r="L145" s="115"/>
      <c r="M145" s="115"/>
      <c r="N145" s="115" t="s">
        <v>287</v>
      </c>
      <c r="O145" s="115" t="s">
        <v>8</v>
      </c>
      <c r="P145" s="47" t="str">
        <f>IF(AND(P146&lt;&gt;"",R146&lt;&gt;""),IF(P146&gt;R146,N146&amp;" win",IF(R146&gt;P146,T146&amp;" win",IF(AND(P146=R146,L143&gt;V143),T146&amp;" win on away goals",IF(AND(P146=R146,L143&lt;V143),N146&amp;" win on away goals","")))),"")</f>
        <v/>
      </c>
      <c r="Q145" s="47"/>
      <c r="R145" s="47"/>
      <c r="S145" s="115"/>
      <c r="T145" s="115"/>
      <c r="U145" s="115"/>
      <c r="V145" s="115"/>
      <c r="W145" s="115"/>
      <c r="X145" s="115"/>
      <c r="Y145" s="115"/>
      <c r="Z145" s="115"/>
      <c r="AA145" s="77"/>
      <c r="AB145" s="112"/>
      <c r="AC145" s="110" t="str">
        <f t="shared" ref="AC145:AC146" si="7">AC135</f>
        <v>Zeit</v>
      </c>
      <c r="AD145" s="110" t="s">
        <v>8</v>
      </c>
      <c r="AE145" s="116"/>
      <c r="AF145" s="79"/>
      <c r="CF145" s="94"/>
      <c r="CG145" s="94"/>
    </row>
    <row r="146" spans="2:108" ht="15" customHeight="1" x14ac:dyDescent="0.2">
      <c r="B146" s="76"/>
      <c r="C146" s="112"/>
      <c r="D146" s="110" t="str">
        <f t="shared" si="6"/>
        <v>Stadion</v>
      </c>
      <c r="E146" s="110" t="s">
        <v>8</v>
      </c>
      <c r="F146" s="116" t="str">
        <f>IF(H143&lt;&gt;"",VLOOKUP(H143,'Club Namen'!$B$3:$C$34,2,FALSE),"")</f>
        <v/>
      </c>
      <c r="G146" s="77"/>
      <c r="H146" s="77"/>
      <c r="I146" s="77"/>
      <c r="J146" s="78"/>
      <c r="K146" s="117"/>
      <c r="L146" s="118"/>
      <c r="M146" s="78" t="e">
        <f>IF(SUM(#REF!)=12,#REF!,"Group A Winner")</f>
        <v>#REF!</v>
      </c>
      <c r="N146" s="55" t="str">
        <f>H143</f>
        <v/>
      </c>
      <c r="O146" s="96"/>
      <c r="P146" s="11" t="str">
        <f>IF(P147="","",IF(AND(P147=R147,P147&lt;&gt;"",R147&lt;&gt;""),IF(AND(L143=V143,J143=X143),IF(AND(P148=R148,P148&lt;&gt;"",R148&lt;&gt;""),IF(AND(P149=R149,P149&lt;&gt;"",R149&lt;&gt;""),"",P147+P148+P149),P147+P148),P147),P147))</f>
        <v/>
      </c>
      <c r="Q146" s="23" t="s">
        <v>0</v>
      </c>
      <c r="R146" s="11" t="str">
        <f>IF(R147="","",IF(AND(P147=R147,P147&lt;&gt;"",R147&lt;&gt;""),IF(AND(L143=V143,J143=X143),IF(AND(P148=R148,P148&lt;&gt;"",R148&lt;&gt;""),IF(AND(P149=R149,P149&lt;&gt;"",R149&lt;&gt;""),"",R147+R148+R149),R147+R148),R147),R147))</f>
        <v/>
      </c>
      <c r="S146" s="96"/>
      <c r="T146" s="31" t="str">
        <f>Z143</f>
        <v/>
      </c>
      <c r="U146" s="77"/>
      <c r="V146" s="77"/>
      <c r="W146" s="77"/>
      <c r="X146" s="77"/>
      <c r="Y146" s="77"/>
      <c r="Z146" s="77"/>
      <c r="AA146" s="77"/>
      <c r="AB146" s="112"/>
      <c r="AC146" s="110" t="str">
        <f t="shared" si="7"/>
        <v>Stadion</v>
      </c>
      <c r="AD146" s="110" t="s">
        <v>8</v>
      </c>
      <c r="AE146" s="116" t="str">
        <f>IF(Z143&lt;&gt;"",VLOOKUP(Z143,'Club Namen'!$B$3:$C$34,2,FALSE),"")</f>
        <v/>
      </c>
      <c r="AF146" s="79"/>
      <c r="CF146" s="94"/>
      <c r="CG146" s="94"/>
    </row>
    <row r="147" spans="2:108" ht="15" customHeight="1" x14ac:dyDescent="0.2">
      <c r="B147" s="76"/>
      <c r="C147" s="112"/>
      <c r="D147" s="110"/>
      <c r="E147" s="110"/>
      <c r="F147" s="116" t="str">
        <f>IF(H143&lt;&gt;"",VLOOKUP(H143,'Club Namen'!$B$3:$D$34,3,FALSE),"")</f>
        <v/>
      </c>
      <c r="G147" s="77"/>
      <c r="H147" s="77"/>
      <c r="I147" s="77"/>
      <c r="J147" s="77"/>
      <c r="K147" s="119"/>
      <c r="L147" s="118"/>
      <c r="M147" s="77"/>
      <c r="N147" s="156" t="s">
        <v>246</v>
      </c>
      <c r="O147" s="120"/>
      <c r="P147" s="23" t="str">
        <f>IF(AND(J143&lt;&gt;"",V143&lt;&gt;""),J143+V143,"")</f>
        <v/>
      </c>
      <c r="Q147" s="23" t="s">
        <v>0</v>
      </c>
      <c r="R147" s="23" t="str">
        <f>IF(AND(L143&lt;&gt;"",X143&lt;&gt;""),L143+X143,"")</f>
        <v/>
      </c>
      <c r="S147" s="77"/>
      <c r="T147" s="77"/>
      <c r="U147" s="77"/>
      <c r="V147" s="77"/>
      <c r="W147" s="77"/>
      <c r="X147" s="77"/>
      <c r="Y147" s="77"/>
      <c r="Z147" s="77"/>
      <c r="AA147" s="77"/>
      <c r="AB147" s="112"/>
      <c r="AC147" s="110"/>
      <c r="AD147" s="110"/>
      <c r="AE147" s="116" t="str">
        <f>IF(Z143&lt;&gt;"",VLOOKUP(Z143,'Club Namen'!$B$3:$D$34,3,FALSE),"")</f>
        <v/>
      </c>
      <c r="AF147" s="79"/>
      <c r="CF147" s="132" t="s">
        <v>23</v>
      </c>
      <c r="CG147" s="132" t="s">
        <v>35</v>
      </c>
    </row>
    <row r="148" spans="2:108" ht="15" customHeight="1" x14ac:dyDescent="0.2">
      <c r="B148" s="76"/>
      <c r="C148" s="112"/>
      <c r="D148" s="110"/>
      <c r="E148" s="110"/>
      <c r="F148" s="114"/>
      <c r="G148" s="77"/>
      <c r="H148" s="77"/>
      <c r="I148" s="77"/>
      <c r="J148" s="77"/>
      <c r="K148" s="119"/>
      <c r="L148" s="118"/>
      <c r="M148" s="77"/>
      <c r="N148" s="156" t="s">
        <v>247</v>
      </c>
      <c r="O148" s="120"/>
      <c r="P148" s="84"/>
      <c r="Q148" s="84" t="s">
        <v>0</v>
      </c>
      <c r="R148" s="84"/>
      <c r="S148" s="77"/>
      <c r="T148" s="77"/>
      <c r="U148" s="77"/>
      <c r="V148" s="77"/>
      <c r="W148" s="77"/>
      <c r="X148" s="77"/>
      <c r="Y148" s="77"/>
      <c r="Z148" s="77"/>
      <c r="AA148" s="77"/>
      <c r="AB148" s="112"/>
      <c r="AC148" s="110"/>
      <c r="AD148" s="110"/>
      <c r="AE148" s="114"/>
      <c r="AF148" s="79"/>
      <c r="CF148" s="132" t="s">
        <v>32</v>
      </c>
      <c r="CG148" s="132" t="s">
        <v>36</v>
      </c>
    </row>
    <row r="149" spans="2:108" ht="15" customHeight="1" x14ac:dyDescent="0.2">
      <c r="B149" s="76"/>
      <c r="C149" s="121"/>
      <c r="D149" s="122"/>
      <c r="E149" s="122"/>
      <c r="F149" s="123"/>
      <c r="G149" s="77"/>
      <c r="H149" s="77"/>
      <c r="I149" s="77"/>
      <c r="J149" s="77"/>
      <c r="K149" s="119"/>
      <c r="L149" s="118"/>
      <c r="M149" s="77"/>
      <c r="N149" s="156" t="s">
        <v>248</v>
      </c>
      <c r="O149" s="120"/>
      <c r="P149" s="84"/>
      <c r="Q149" s="84" t="s">
        <v>0</v>
      </c>
      <c r="R149" s="84"/>
      <c r="S149" s="77"/>
      <c r="T149" s="77"/>
      <c r="U149" s="77"/>
      <c r="V149" s="77"/>
      <c r="W149" s="77"/>
      <c r="X149" s="77"/>
      <c r="Y149" s="77"/>
      <c r="Z149" s="77"/>
      <c r="AA149" s="77"/>
      <c r="AB149" s="121"/>
      <c r="AC149" s="122"/>
      <c r="AD149" s="122"/>
      <c r="AE149" s="123"/>
      <c r="AF149" s="79"/>
      <c r="CF149" s="132" t="s">
        <v>30</v>
      </c>
      <c r="CG149" s="132" t="s">
        <v>37</v>
      </c>
    </row>
    <row r="150" spans="2:108" ht="15" customHeight="1" x14ac:dyDescent="0.2">
      <c r="B150" s="76"/>
      <c r="C150" s="77"/>
      <c r="D150" s="77"/>
      <c r="E150" s="77"/>
      <c r="F150" s="77"/>
      <c r="G150" s="77"/>
      <c r="H150" s="77"/>
      <c r="I150" s="77"/>
      <c r="J150" s="77"/>
      <c r="K150" s="78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9"/>
      <c r="CF150" s="132" t="s">
        <v>24</v>
      </c>
      <c r="CG150" s="132" t="s">
        <v>38</v>
      </c>
    </row>
    <row r="151" spans="2:108" ht="15" customHeight="1" x14ac:dyDescent="0.2">
      <c r="B151" s="182" t="s">
        <v>250</v>
      </c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3"/>
      <c r="S151" s="183"/>
      <c r="T151" s="183"/>
      <c r="U151" s="183"/>
      <c r="V151" s="183"/>
      <c r="W151" s="183"/>
      <c r="X151" s="183"/>
      <c r="Y151" s="183"/>
      <c r="Z151" s="183"/>
      <c r="AA151" s="183"/>
      <c r="AB151" s="183"/>
      <c r="AC151" s="183"/>
      <c r="AD151" s="183"/>
      <c r="AE151" s="183"/>
      <c r="AF151" s="184"/>
      <c r="DC151" s="94"/>
      <c r="DD151" s="132"/>
    </row>
    <row r="152" spans="2:108" ht="15" customHeight="1" x14ac:dyDescent="0.2">
      <c r="B152" s="76"/>
      <c r="C152" s="77"/>
      <c r="D152" s="77"/>
      <c r="E152" s="77"/>
      <c r="F152" s="77"/>
      <c r="G152" s="77"/>
      <c r="H152" s="77"/>
      <c r="I152" s="77"/>
      <c r="J152" s="77"/>
      <c r="K152" s="78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77"/>
      <c r="AF152" s="79"/>
      <c r="DC152" s="94"/>
      <c r="DD152" s="132"/>
    </row>
    <row r="153" spans="2:108" ht="15" customHeight="1" x14ac:dyDescent="0.2">
      <c r="B153" s="76"/>
      <c r="C153" s="185" t="s">
        <v>272</v>
      </c>
      <c r="D153" s="185"/>
      <c r="E153" s="185"/>
      <c r="F153" s="185"/>
      <c r="G153" s="185"/>
      <c r="H153" s="185"/>
      <c r="I153" s="185"/>
      <c r="J153" s="185"/>
      <c r="K153" s="185"/>
      <c r="L153" s="185"/>
      <c r="M153" s="185"/>
      <c r="N153" s="185"/>
      <c r="O153" s="185"/>
      <c r="P153" s="185"/>
      <c r="Q153" s="77"/>
      <c r="R153" s="185" t="s">
        <v>271</v>
      </c>
      <c r="S153" s="185"/>
      <c r="T153" s="185"/>
      <c r="U153" s="185"/>
      <c r="V153" s="185"/>
      <c r="W153" s="185"/>
      <c r="X153" s="185"/>
      <c r="Y153" s="185"/>
      <c r="Z153" s="185"/>
      <c r="AA153" s="185"/>
      <c r="AB153" s="185"/>
      <c r="AC153" s="185"/>
      <c r="AD153" s="185"/>
      <c r="AE153" s="185"/>
      <c r="AF153" s="79"/>
      <c r="DC153" s="94"/>
      <c r="DD153" s="132"/>
    </row>
    <row r="154" spans="2:108" ht="15" customHeight="1" x14ac:dyDescent="0.2">
      <c r="B154" s="76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101"/>
      <c r="AC154" s="96"/>
      <c r="AD154" s="96"/>
      <c r="AE154" s="96"/>
      <c r="AF154" s="79"/>
      <c r="DC154" s="94"/>
      <c r="DD154" s="132"/>
    </row>
    <row r="155" spans="2:108" ht="15" customHeight="1" x14ac:dyDescent="0.2">
      <c r="B155" s="76"/>
      <c r="C155" s="105"/>
      <c r="D155" s="106" t="s">
        <v>268</v>
      </c>
      <c r="E155" s="106"/>
      <c r="F155" s="107"/>
      <c r="G155" s="108"/>
      <c r="H155" s="59" t="str">
        <f>IF(T95&lt;&gt;"",VLOOKUP(T95,$T$99:$W$102,4,FALSE),"")</f>
        <v/>
      </c>
      <c r="I155" s="77"/>
      <c r="J155" s="84"/>
      <c r="K155" s="84" t="s">
        <v>0</v>
      </c>
      <c r="L155" s="84"/>
      <c r="M155" s="77"/>
      <c r="N155" s="10" t="str">
        <f>Z155</f>
        <v/>
      </c>
      <c r="O155" s="77"/>
      <c r="P155" s="77"/>
      <c r="Q155" s="77"/>
      <c r="R155" s="77"/>
      <c r="S155" s="77"/>
      <c r="T155" s="55" t="str">
        <f>H155</f>
        <v/>
      </c>
      <c r="U155" s="77"/>
      <c r="V155" s="84"/>
      <c r="W155" s="84" t="s">
        <v>0</v>
      </c>
      <c r="X155" s="84"/>
      <c r="Y155" s="77"/>
      <c r="Z155" s="60" t="str">
        <f>IF(Z95&lt;&gt;"",VLOOKUP(Z95,$T$99:$W$102,4,FALSE),"")</f>
        <v/>
      </c>
      <c r="AA155" s="110"/>
      <c r="AB155" s="110"/>
      <c r="AC155" s="106" t="str">
        <f>D155</f>
        <v>Halbfinale 1</v>
      </c>
      <c r="AD155" s="106"/>
      <c r="AE155" s="111"/>
      <c r="AF155" s="79"/>
      <c r="DC155" s="94"/>
      <c r="DD155" s="132"/>
    </row>
    <row r="156" spans="2:108" ht="15" customHeight="1" x14ac:dyDescent="0.2">
      <c r="B156" s="76"/>
      <c r="C156" s="112"/>
      <c r="D156" s="110" t="str">
        <f>D144</f>
        <v>Datum</v>
      </c>
      <c r="E156" s="110" t="s">
        <v>8</v>
      </c>
      <c r="F156" s="113"/>
      <c r="G156" s="77"/>
      <c r="H156" s="77"/>
      <c r="I156" s="77"/>
      <c r="J156" s="77"/>
      <c r="K156" s="78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112"/>
      <c r="AC156" s="110" t="str">
        <f>AC144</f>
        <v>Datum</v>
      </c>
      <c r="AD156" s="110" t="s">
        <v>8</v>
      </c>
      <c r="AE156" s="113"/>
      <c r="AF156" s="79"/>
      <c r="DC156" s="94"/>
      <c r="DD156" s="132"/>
    </row>
    <row r="157" spans="2:108" ht="15" customHeight="1" x14ac:dyDescent="0.2">
      <c r="B157" s="76"/>
      <c r="C157" s="112"/>
      <c r="D157" s="110" t="str">
        <f t="shared" ref="D157:D158" si="8">D145</f>
        <v>Zeit</v>
      </c>
      <c r="E157" s="110" t="s">
        <v>8</v>
      </c>
      <c r="F157" s="114"/>
      <c r="G157" s="77"/>
      <c r="H157" s="115"/>
      <c r="I157" s="115"/>
      <c r="J157" s="115"/>
      <c r="K157" s="97"/>
      <c r="L157" s="115"/>
      <c r="M157" s="115"/>
      <c r="N157" s="115" t="s">
        <v>287</v>
      </c>
      <c r="O157" s="115" t="s">
        <v>8</v>
      </c>
      <c r="P157" s="47" t="str">
        <f>IF(AND(P158&lt;&gt;"",R158&lt;&gt;""),IF(P158&gt;R158,N158&amp;" win",IF(R158&gt;P158,T158&amp;" win",IF(AND(P158=R158,L155&gt;V155),T158&amp;" win on away goals",IF(AND(P158=R158,L155&lt;V155),N158&amp;" win on away goals","")))),"")</f>
        <v/>
      </c>
      <c r="Q157" s="47"/>
      <c r="R157" s="47"/>
      <c r="S157" s="115"/>
      <c r="T157" s="115"/>
      <c r="U157" s="115"/>
      <c r="V157" s="115"/>
      <c r="W157" s="115"/>
      <c r="X157" s="115"/>
      <c r="Y157" s="115"/>
      <c r="Z157" s="115"/>
      <c r="AA157" s="77"/>
      <c r="AB157" s="112"/>
      <c r="AC157" s="110" t="str">
        <f t="shared" ref="AC157:AC158" si="9">AC145</f>
        <v>Zeit</v>
      </c>
      <c r="AD157" s="110" t="s">
        <v>8</v>
      </c>
      <c r="AE157" s="116"/>
      <c r="AF157" s="79"/>
      <c r="DC157" s="94"/>
      <c r="DD157" s="132"/>
    </row>
    <row r="158" spans="2:108" ht="15" customHeight="1" x14ac:dyDescent="0.2">
      <c r="B158" s="76"/>
      <c r="C158" s="112"/>
      <c r="D158" s="110" t="str">
        <f t="shared" si="8"/>
        <v>Stadion</v>
      </c>
      <c r="E158" s="110" t="s">
        <v>8</v>
      </c>
      <c r="F158" s="116" t="str">
        <f>IF(H155&lt;&gt;"",VLOOKUP(H155,'Club Namen'!$B$3:$C$34,2,FALSE),"")</f>
        <v/>
      </c>
      <c r="G158" s="77"/>
      <c r="H158" s="77"/>
      <c r="I158" s="77"/>
      <c r="J158" s="78"/>
      <c r="K158" s="117"/>
      <c r="L158" s="118"/>
      <c r="M158" s="78" t="e">
        <f>IF(SUM(#REF!)=12,#REF!,"Group A Winner")</f>
        <v>#REF!</v>
      </c>
      <c r="N158" s="55" t="str">
        <f>H155</f>
        <v/>
      </c>
      <c r="O158" s="96"/>
      <c r="P158" s="11" t="str">
        <f>IF(P159="","",IF(AND(P159=R159,P159&lt;&gt;"",R159&lt;&gt;""),IF(AND(L155=V155,J155=X155),IF(AND(P160=R160,P160&lt;&gt;"",R160&lt;&gt;""),IF(AND(P161=R161,P161&lt;&gt;"",R161&lt;&gt;""),"",P159+P160+P161),P159+P160),P159),P159))</f>
        <v/>
      </c>
      <c r="Q158" s="23" t="s">
        <v>0</v>
      </c>
      <c r="R158" s="11" t="str">
        <f>IF(R159="","",IF(AND(P159=R159,P159&lt;&gt;"",R159&lt;&gt;""),IF(AND(L155=V155,J155=X155),IF(AND(P160=R160,P160&lt;&gt;"",R160&lt;&gt;""),IF(AND(P161=R161,P161&lt;&gt;"",R161&lt;&gt;""),"",R159+R160+R161),R159+R160),R159),R159))</f>
        <v/>
      </c>
      <c r="S158" s="96"/>
      <c r="T158" s="31" t="str">
        <f>Z155</f>
        <v/>
      </c>
      <c r="U158" s="77"/>
      <c r="V158" s="77"/>
      <c r="W158" s="77"/>
      <c r="X158" s="77"/>
      <c r="Y158" s="77"/>
      <c r="Z158" s="77"/>
      <c r="AA158" s="77"/>
      <c r="AB158" s="112"/>
      <c r="AC158" s="110" t="str">
        <f t="shared" si="9"/>
        <v>Stadion</v>
      </c>
      <c r="AD158" s="110" t="s">
        <v>8</v>
      </c>
      <c r="AE158" s="116" t="str">
        <f>IF(Z155&lt;&gt;"",VLOOKUP(Z155,'Club Namen'!$B$3:$C$34,2,FALSE),"")</f>
        <v/>
      </c>
      <c r="AF158" s="79"/>
      <c r="DC158" s="94"/>
      <c r="DD158" s="132"/>
    </row>
    <row r="159" spans="2:108" ht="15" customHeight="1" x14ac:dyDescent="0.2">
      <c r="B159" s="76"/>
      <c r="C159" s="112"/>
      <c r="D159" s="110"/>
      <c r="E159" s="110"/>
      <c r="F159" s="116" t="str">
        <f>IF(H155&lt;&gt;"",VLOOKUP(H155,'Club Namen'!$B$3:$D$34,3,FALSE),"")</f>
        <v/>
      </c>
      <c r="G159" s="77"/>
      <c r="H159" s="77"/>
      <c r="I159" s="77"/>
      <c r="J159" s="77"/>
      <c r="K159" s="119"/>
      <c r="L159" s="118"/>
      <c r="M159" s="77"/>
      <c r="N159" s="156" t="s">
        <v>246</v>
      </c>
      <c r="O159" s="120"/>
      <c r="P159" s="23" t="str">
        <f>IF(AND(J155&lt;&gt;"",V155&lt;&gt;""),J155+V155,"")</f>
        <v/>
      </c>
      <c r="Q159" s="23" t="s">
        <v>0</v>
      </c>
      <c r="R159" s="23" t="str">
        <f>IF(AND(L155&lt;&gt;"",X155&lt;&gt;""),L155+X155,"")</f>
        <v/>
      </c>
      <c r="S159" s="77"/>
      <c r="T159" s="77"/>
      <c r="U159" s="77"/>
      <c r="V159" s="77"/>
      <c r="W159" s="77"/>
      <c r="X159" s="77"/>
      <c r="Y159" s="77"/>
      <c r="Z159" s="77"/>
      <c r="AA159" s="77"/>
      <c r="AB159" s="112"/>
      <c r="AC159" s="110"/>
      <c r="AD159" s="110"/>
      <c r="AE159" s="116" t="str">
        <f>IF(Z155&lt;&gt;"",VLOOKUP(Z155,'Club Namen'!$B$3:$D$34,3,FALSE),"")</f>
        <v/>
      </c>
      <c r="AF159" s="79"/>
      <c r="DC159" s="94"/>
      <c r="DD159" s="132"/>
    </row>
    <row r="160" spans="2:108" ht="15" customHeight="1" x14ac:dyDescent="0.2">
      <c r="B160" s="76"/>
      <c r="C160" s="112"/>
      <c r="D160" s="110"/>
      <c r="E160" s="110"/>
      <c r="F160" s="114"/>
      <c r="G160" s="77"/>
      <c r="H160" s="77"/>
      <c r="I160" s="77"/>
      <c r="J160" s="77"/>
      <c r="K160" s="119"/>
      <c r="L160" s="118"/>
      <c r="M160" s="77"/>
      <c r="N160" s="156" t="s">
        <v>247</v>
      </c>
      <c r="O160" s="120"/>
      <c r="P160" s="84"/>
      <c r="Q160" s="84" t="s">
        <v>0</v>
      </c>
      <c r="R160" s="84"/>
      <c r="S160" s="77"/>
      <c r="T160" s="77"/>
      <c r="U160" s="77"/>
      <c r="V160" s="77"/>
      <c r="W160" s="77"/>
      <c r="X160" s="77"/>
      <c r="Y160" s="77"/>
      <c r="Z160" s="77"/>
      <c r="AA160" s="77"/>
      <c r="AB160" s="112"/>
      <c r="AC160" s="110"/>
      <c r="AD160" s="110"/>
      <c r="AE160" s="114"/>
      <c r="AF160" s="79"/>
      <c r="DC160" s="94"/>
      <c r="DD160" s="132"/>
    </row>
    <row r="161" spans="2:108" ht="15" customHeight="1" x14ac:dyDescent="0.2">
      <c r="B161" s="76"/>
      <c r="C161" s="121"/>
      <c r="D161" s="122"/>
      <c r="E161" s="122"/>
      <c r="F161" s="123"/>
      <c r="G161" s="77"/>
      <c r="H161" s="77"/>
      <c r="I161" s="77"/>
      <c r="J161" s="77"/>
      <c r="K161" s="119"/>
      <c r="L161" s="118"/>
      <c r="M161" s="77"/>
      <c r="N161" s="156" t="s">
        <v>248</v>
      </c>
      <c r="O161" s="120"/>
      <c r="P161" s="84"/>
      <c r="Q161" s="84" t="s">
        <v>0</v>
      </c>
      <c r="R161" s="84"/>
      <c r="S161" s="77"/>
      <c r="T161" s="77"/>
      <c r="U161" s="77"/>
      <c r="V161" s="77"/>
      <c r="W161" s="77"/>
      <c r="X161" s="77"/>
      <c r="Y161" s="77"/>
      <c r="Z161" s="77"/>
      <c r="AA161" s="77"/>
      <c r="AB161" s="121"/>
      <c r="AC161" s="122"/>
      <c r="AD161" s="122"/>
      <c r="AE161" s="123"/>
      <c r="AF161" s="79"/>
      <c r="DC161" s="94"/>
      <c r="DD161" s="132"/>
    </row>
    <row r="162" spans="2:108" ht="15" customHeight="1" x14ac:dyDescent="0.2">
      <c r="B162" s="76"/>
      <c r="C162" s="77"/>
      <c r="D162" s="77"/>
      <c r="E162" s="77"/>
      <c r="F162" s="77"/>
      <c r="G162" s="77"/>
      <c r="H162" s="77"/>
      <c r="I162" s="77"/>
      <c r="J162" s="77"/>
      <c r="K162" s="78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9"/>
      <c r="DC162" s="94"/>
      <c r="DD162" s="132"/>
    </row>
    <row r="163" spans="2:108" ht="15" customHeight="1" x14ac:dyDescent="0.2">
      <c r="B163" s="76"/>
      <c r="C163" s="185" t="s">
        <v>272</v>
      </c>
      <c r="D163" s="185"/>
      <c r="E163" s="185"/>
      <c r="F163" s="185"/>
      <c r="G163" s="185"/>
      <c r="H163" s="185"/>
      <c r="I163" s="185"/>
      <c r="J163" s="185"/>
      <c r="K163" s="185"/>
      <c r="L163" s="185"/>
      <c r="M163" s="185"/>
      <c r="N163" s="185"/>
      <c r="O163" s="185"/>
      <c r="P163" s="185"/>
      <c r="Q163" s="77"/>
      <c r="R163" s="185" t="s">
        <v>271</v>
      </c>
      <c r="S163" s="185"/>
      <c r="T163" s="185"/>
      <c r="U163" s="185"/>
      <c r="V163" s="185"/>
      <c r="W163" s="185"/>
      <c r="X163" s="185"/>
      <c r="Y163" s="185"/>
      <c r="Z163" s="185"/>
      <c r="AA163" s="185"/>
      <c r="AB163" s="185"/>
      <c r="AC163" s="185"/>
      <c r="AD163" s="185"/>
      <c r="AE163" s="185"/>
      <c r="AF163" s="79"/>
      <c r="DC163" s="94"/>
      <c r="DD163" s="132"/>
    </row>
    <row r="164" spans="2:108" ht="15" customHeight="1" x14ac:dyDescent="0.2">
      <c r="B164" s="76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101"/>
      <c r="AC164" s="96"/>
      <c r="AD164" s="96"/>
      <c r="AE164" s="96"/>
      <c r="AF164" s="79"/>
      <c r="DC164" s="94"/>
      <c r="DD164" s="132"/>
    </row>
    <row r="165" spans="2:108" ht="15" customHeight="1" x14ac:dyDescent="0.2">
      <c r="B165" s="76"/>
      <c r="C165" s="105"/>
      <c r="D165" s="106" t="s">
        <v>269</v>
      </c>
      <c r="E165" s="106"/>
      <c r="F165" s="107"/>
      <c r="G165" s="108"/>
      <c r="H165" s="59" t="str">
        <f>IF(T96&lt;&gt;"",VLOOKUP(T96,$T$99:$W$102,4,FALSE),"")</f>
        <v/>
      </c>
      <c r="I165" s="77"/>
      <c r="J165" s="84"/>
      <c r="K165" s="84" t="s">
        <v>0</v>
      </c>
      <c r="L165" s="84"/>
      <c r="M165" s="77"/>
      <c r="N165" s="10" t="str">
        <f>Z165</f>
        <v/>
      </c>
      <c r="O165" s="77"/>
      <c r="P165" s="77"/>
      <c r="Q165" s="77"/>
      <c r="R165" s="77"/>
      <c r="S165" s="77"/>
      <c r="T165" s="55" t="str">
        <f>H165</f>
        <v/>
      </c>
      <c r="U165" s="77"/>
      <c r="V165" s="84"/>
      <c r="W165" s="84" t="s">
        <v>0</v>
      </c>
      <c r="X165" s="84"/>
      <c r="Y165" s="77"/>
      <c r="Z165" s="60" t="str">
        <f>IF(Z96&lt;&gt;"",VLOOKUP(Z96,$T$99:$W$102,4,FALSE),"")</f>
        <v/>
      </c>
      <c r="AA165" s="110"/>
      <c r="AB165" s="110"/>
      <c r="AC165" s="106" t="str">
        <f>D165</f>
        <v>Halbfinale 2</v>
      </c>
      <c r="AD165" s="106"/>
      <c r="AE165" s="111"/>
      <c r="AF165" s="79"/>
      <c r="DC165" s="94"/>
      <c r="DD165" s="132"/>
    </row>
    <row r="166" spans="2:108" ht="15" customHeight="1" x14ac:dyDescent="0.2">
      <c r="B166" s="76"/>
      <c r="C166" s="112"/>
      <c r="D166" s="110" t="str">
        <f>D156</f>
        <v>Datum</v>
      </c>
      <c r="E166" s="110" t="s">
        <v>8</v>
      </c>
      <c r="F166" s="113"/>
      <c r="G166" s="77"/>
      <c r="H166" s="77"/>
      <c r="I166" s="77"/>
      <c r="J166" s="77"/>
      <c r="K166" s="78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112"/>
      <c r="AC166" s="110" t="str">
        <f>AC156</f>
        <v>Datum</v>
      </c>
      <c r="AD166" s="110" t="s">
        <v>8</v>
      </c>
      <c r="AE166" s="113"/>
      <c r="AF166" s="79"/>
      <c r="DC166" s="94"/>
      <c r="DD166" s="132"/>
    </row>
    <row r="167" spans="2:108" ht="15" customHeight="1" x14ac:dyDescent="0.2">
      <c r="B167" s="76"/>
      <c r="C167" s="112"/>
      <c r="D167" s="110" t="str">
        <f t="shared" ref="D167:D168" si="10">D157</f>
        <v>Zeit</v>
      </c>
      <c r="E167" s="110" t="s">
        <v>8</v>
      </c>
      <c r="F167" s="114"/>
      <c r="G167" s="77"/>
      <c r="H167" s="115"/>
      <c r="I167" s="115"/>
      <c r="J167" s="115"/>
      <c r="K167" s="97"/>
      <c r="L167" s="115"/>
      <c r="M167" s="115"/>
      <c r="N167" s="115" t="s">
        <v>287</v>
      </c>
      <c r="O167" s="115" t="s">
        <v>8</v>
      </c>
      <c r="P167" s="47" t="str">
        <f>IF(AND(P168&lt;&gt;"",R168&lt;&gt;""),IF(P168&gt;R168,N168&amp;" win",IF(R168&gt;P168,T168&amp;" win",IF(AND(P168=R168,L165&gt;V165),T168&amp;" win on away goals",IF(AND(P168=R168,L165&lt;V165),N168&amp;" win on away goals","")))),"")</f>
        <v/>
      </c>
      <c r="Q167" s="47"/>
      <c r="R167" s="47"/>
      <c r="S167" s="115"/>
      <c r="T167" s="115"/>
      <c r="U167" s="115"/>
      <c r="V167" s="115"/>
      <c r="W167" s="115"/>
      <c r="X167" s="115"/>
      <c r="Y167" s="115"/>
      <c r="Z167" s="115"/>
      <c r="AA167" s="77"/>
      <c r="AB167" s="112"/>
      <c r="AC167" s="110" t="str">
        <f t="shared" ref="AC167:AC168" si="11">AC157</f>
        <v>Zeit</v>
      </c>
      <c r="AD167" s="110" t="s">
        <v>8</v>
      </c>
      <c r="AE167" s="116"/>
      <c r="AF167" s="79"/>
      <c r="DC167" s="94"/>
      <c r="DD167" s="132"/>
    </row>
    <row r="168" spans="2:108" ht="15" customHeight="1" x14ac:dyDescent="0.2">
      <c r="B168" s="76"/>
      <c r="C168" s="112"/>
      <c r="D168" s="110" t="str">
        <f t="shared" si="10"/>
        <v>Stadion</v>
      </c>
      <c r="E168" s="110" t="s">
        <v>8</v>
      </c>
      <c r="F168" s="116" t="str">
        <f>IF(H165&lt;&gt;"",VLOOKUP(H165,'Club Namen'!$B$3:$C$34,2,FALSE),"")</f>
        <v/>
      </c>
      <c r="G168" s="77"/>
      <c r="H168" s="77"/>
      <c r="I168" s="77"/>
      <c r="J168" s="78"/>
      <c r="K168" s="117"/>
      <c r="L168" s="118"/>
      <c r="M168" s="78" t="e">
        <f>IF(SUM(#REF!)=12,#REF!,"Group A Winner")</f>
        <v>#REF!</v>
      </c>
      <c r="N168" s="55" t="str">
        <f>H165</f>
        <v/>
      </c>
      <c r="O168" s="96"/>
      <c r="P168" s="11" t="str">
        <f>IF(P169="","",IF(AND(P169=R169,P169&lt;&gt;"",R169&lt;&gt;""),IF(AND(L165=V165,J165=X165),IF(AND(P170=R170,P170&lt;&gt;"",R170&lt;&gt;""),IF(AND(P171=R171,P171&lt;&gt;"",R171&lt;&gt;""),"",P169+P170+P171),P169+P170),P169),P169))</f>
        <v/>
      </c>
      <c r="Q168" s="23" t="s">
        <v>0</v>
      </c>
      <c r="R168" s="11" t="str">
        <f>IF(R169="","",IF(AND(P169=R169,P169&lt;&gt;"",R169&lt;&gt;""),IF(AND(L165=V165,J165=X165),IF(AND(P170=R170,P170&lt;&gt;"",R170&lt;&gt;""),IF(AND(P171=R171,P171&lt;&gt;"",R171&lt;&gt;""),"",R169+R170+R171),R169+R170),R169),R169))</f>
        <v/>
      </c>
      <c r="S168" s="96"/>
      <c r="T168" s="31" t="str">
        <f>Z165</f>
        <v/>
      </c>
      <c r="U168" s="77"/>
      <c r="V168" s="77"/>
      <c r="W168" s="77"/>
      <c r="X168" s="77"/>
      <c r="Y168" s="77"/>
      <c r="Z168" s="77"/>
      <c r="AA168" s="77"/>
      <c r="AB168" s="112"/>
      <c r="AC168" s="110" t="str">
        <f t="shared" si="11"/>
        <v>Stadion</v>
      </c>
      <c r="AD168" s="110" t="s">
        <v>8</v>
      </c>
      <c r="AE168" s="116" t="str">
        <f>IF(Z165&lt;&gt;"",VLOOKUP(Z165,'Club Namen'!$B$3:$C$34,2,FALSE),"")</f>
        <v/>
      </c>
      <c r="AF168" s="79"/>
      <c r="DC168" s="94"/>
      <c r="DD168" s="132"/>
    </row>
    <row r="169" spans="2:108" ht="15" customHeight="1" x14ac:dyDescent="0.2">
      <c r="B169" s="76"/>
      <c r="C169" s="112"/>
      <c r="D169" s="110"/>
      <c r="E169" s="110"/>
      <c r="F169" s="116" t="str">
        <f>IF(H165&lt;&gt;"",VLOOKUP(H165,'Club Namen'!$B$3:$D$34,3,FALSE),"")</f>
        <v/>
      </c>
      <c r="G169" s="77"/>
      <c r="H169" s="77"/>
      <c r="I169" s="77"/>
      <c r="J169" s="77"/>
      <c r="K169" s="119"/>
      <c r="L169" s="118"/>
      <c r="M169" s="77"/>
      <c r="N169" s="156" t="s">
        <v>246</v>
      </c>
      <c r="O169" s="120"/>
      <c r="P169" s="23" t="str">
        <f>IF(AND(J165&lt;&gt;"",V165&lt;&gt;""),J165+V165,"")</f>
        <v/>
      </c>
      <c r="Q169" s="23" t="s">
        <v>0</v>
      </c>
      <c r="R169" s="23" t="str">
        <f>IF(AND(L165&lt;&gt;"",X165&lt;&gt;""),L165+X165,"")</f>
        <v/>
      </c>
      <c r="S169" s="77"/>
      <c r="T169" s="77"/>
      <c r="U169" s="77"/>
      <c r="V169" s="77"/>
      <c r="W169" s="77"/>
      <c r="X169" s="77"/>
      <c r="Y169" s="77"/>
      <c r="Z169" s="77"/>
      <c r="AA169" s="77"/>
      <c r="AB169" s="112"/>
      <c r="AC169" s="110"/>
      <c r="AD169" s="110"/>
      <c r="AE169" s="116" t="str">
        <f>IF(Z165&lt;&gt;"",VLOOKUP(Z165,'Club Namen'!$B$3:$D$34,3,FALSE),"")</f>
        <v/>
      </c>
      <c r="AF169" s="79"/>
      <c r="DC169" s="94"/>
      <c r="DD169" s="132"/>
    </row>
    <row r="170" spans="2:108" ht="15" customHeight="1" x14ac:dyDescent="0.2">
      <c r="B170" s="76"/>
      <c r="C170" s="112"/>
      <c r="D170" s="110"/>
      <c r="E170" s="110"/>
      <c r="F170" s="114"/>
      <c r="G170" s="77"/>
      <c r="H170" s="77"/>
      <c r="I170" s="77"/>
      <c r="J170" s="77"/>
      <c r="K170" s="119"/>
      <c r="L170" s="118"/>
      <c r="M170" s="77"/>
      <c r="N170" s="156" t="s">
        <v>247</v>
      </c>
      <c r="O170" s="120"/>
      <c r="P170" s="84"/>
      <c r="Q170" s="84" t="s">
        <v>0</v>
      </c>
      <c r="R170" s="84"/>
      <c r="S170" s="77"/>
      <c r="T170" s="77"/>
      <c r="U170" s="77"/>
      <c r="V170" s="77"/>
      <c r="W170" s="77"/>
      <c r="X170" s="77"/>
      <c r="Y170" s="77"/>
      <c r="Z170" s="77"/>
      <c r="AA170" s="77"/>
      <c r="AB170" s="112"/>
      <c r="AC170" s="110"/>
      <c r="AD170" s="110"/>
      <c r="AE170" s="114"/>
      <c r="AF170" s="79"/>
      <c r="DC170" s="94"/>
      <c r="DD170" s="132"/>
    </row>
    <row r="171" spans="2:108" ht="15" customHeight="1" x14ac:dyDescent="0.2">
      <c r="B171" s="76"/>
      <c r="C171" s="121"/>
      <c r="D171" s="122"/>
      <c r="E171" s="122"/>
      <c r="F171" s="123"/>
      <c r="G171" s="77"/>
      <c r="H171" s="77"/>
      <c r="I171" s="77"/>
      <c r="J171" s="77"/>
      <c r="K171" s="119"/>
      <c r="L171" s="118"/>
      <c r="M171" s="77"/>
      <c r="N171" s="156" t="s">
        <v>248</v>
      </c>
      <c r="O171" s="120"/>
      <c r="P171" s="84"/>
      <c r="Q171" s="84" t="s">
        <v>0</v>
      </c>
      <c r="R171" s="84"/>
      <c r="S171" s="77"/>
      <c r="T171" s="77"/>
      <c r="U171" s="77"/>
      <c r="V171" s="77"/>
      <c r="W171" s="77"/>
      <c r="X171" s="77"/>
      <c r="Y171" s="77"/>
      <c r="Z171" s="77"/>
      <c r="AA171" s="77"/>
      <c r="AB171" s="121"/>
      <c r="AC171" s="122"/>
      <c r="AD171" s="122"/>
      <c r="AE171" s="123"/>
      <c r="AF171" s="79"/>
      <c r="DC171" s="94"/>
      <c r="DD171" s="132"/>
    </row>
    <row r="172" spans="2:108" ht="15" customHeight="1" x14ac:dyDescent="0.2">
      <c r="B172" s="76"/>
      <c r="C172" s="77"/>
      <c r="D172" s="77"/>
      <c r="E172" s="77"/>
      <c r="F172" s="77"/>
      <c r="G172" s="77"/>
      <c r="H172" s="77"/>
      <c r="I172" s="77"/>
      <c r="J172" s="77"/>
      <c r="K172" s="78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77"/>
      <c r="AE172" s="77"/>
      <c r="AF172" s="79"/>
      <c r="DC172" s="94"/>
      <c r="DD172" s="132"/>
    </row>
    <row r="173" spans="2:108" ht="15" customHeight="1" x14ac:dyDescent="0.2">
      <c r="B173" s="182" t="s">
        <v>251</v>
      </c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83"/>
      <c r="Q173" s="183"/>
      <c r="R173" s="183"/>
      <c r="S173" s="183"/>
      <c r="T173" s="183"/>
      <c r="U173" s="183"/>
      <c r="V173" s="183"/>
      <c r="W173" s="183"/>
      <c r="X173" s="183"/>
      <c r="Y173" s="183"/>
      <c r="Z173" s="183"/>
      <c r="AA173" s="183"/>
      <c r="AB173" s="183"/>
      <c r="AC173" s="183"/>
      <c r="AD173" s="183"/>
      <c r="AE173" s="183"/>
      <c r="AF173" s="184"/>
      <c r="DC173" s="94"/>
      <c r="DD173" s="132"/>
    </row>
    <row r="174" spans="2:108" ht="15" customHeight="1" x14ac:dyDescent="0.2">
      <c r="B174" s="76"/>
      <c r="C174" s="77"/>
      <c r="D174" s="77"/>
      <c r="E174" s="77"/>
      <c r="F174" s="77"/>
      <c r="G174" s="77"/>
      <c r="H174" s="77"/>
      <c r="I174" s="77"/>
      <c r="J174" s="77"/>
      <c r="K174" s="78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34"/>
      <c r="AE174" s="77"/>
      <c r="AF174" s="79"/>
      <c r="DC174" s="94"/>
      <c r="DD174" s="132"/>
    </row>
    <row r="175" spans="2:108" ht="21.75" customHeight="1" x14ac:dyDescent="0.2">
      <c r="B175" s="76"/>
      <c r="C175" s="77"/>
      <c r="D175" s="77"/>
      <c r="E175" s="77"/>
      <c r="F175" s="77"/>
      <c r="G175" s="77"/>
      <c r="H175" s="160"/>
      <c r="I175" s="161"/>
      <c r="J175" s="161"/>
      <c r="K175" s="162"/>
      <c r="L175" s="161"/>
      <c r="M175" s="161" t="s">
        <v>308</v>
      </c>
      <c r="N175" s="161"/>
      <c r="O175" s="161"/>
      <c r="P175" s="161"/>
      <c r="Q175" s="161"/>
      <c r="R175" s="161"/>
      <c r="S175" s="161"/>
      <c r="T175" s="161"/>
      <c r="U175" s="161"/>
      <c r="V175" s="161"/>
      <c r="W175" s="161"/>
      <c r="X175" s="161"/>
      <c r="Y175" s="161"/>
      <c r="Z175" s="163"/>
      <c r="AA175" s="77"/>
      <c r="AB175" s="77"/>
      <c r="AC175" s="77"/>
      <c r="AD175" s="134"/>
      <c r="AE175" s="77"/>
      <c r="AF175" s="79"/>
      <c r="DC175" s="94"/>
      <c r="DD175" s="132" t="s">
        <v>91</v>
      </c>
    </row>
    <row r="176" spans="2:108" ht="18" customHeight="1" x14ac:dyDescent="0.2">
      <c r="B176" s="76"/>
      <c r="C176" s="77"/>
      <c r="D176" s="77"/>
      <c r="E176" s="77"/>
      <c r="F176" s="77"/>
      <c r="G176" s="77"/>
      <c r="H176" s="76"/>
      <c r="I176" s="77"/>
      <c r="J176" s="78"/>
      <c r="K176" s="117"/>
      <c r="L176" s="118"/>
      <c r="M176" s="78" t="e">
        <f>IF(SUM(#REF!)=12,#REF!,"Group A Winner")</f>
        <v>#REF!</v>
      </c>
      <c r="N176" s="165" t="str">
        <f>IF(P157&lt;&gt;"",IF(P158&gt;R158,N158,IF(R158&gt;P158,T158,IF(AND(P158=R158,L155&gt;V155),T158,IF(AND(P158=R158,L155&lt;V155),N158,"")))),"")</f>
        <v/>
      </c>
      <c r="O176" s="166"/>
      <c r="P176" s="167" t="str">
        <f>IF(P177="","",IF(AND(P177=R177,P177&lt;&gt;"",R177&lt;&gt;""),IF(AND(L173=V173,J173=X173),IF(AND(P178=R178,P178&lt;&gt;"",R178&lt;&gt;""),IF(AND(P179=R179,P179&lt;&gt;"",R179&lt;&gt;""),"",P177+P178+P179),P177+P178),P177),P177))</f>
        <v/>
      </c>
      <c r="Q176" s="168" t="s">
        <v>0</v>
      </c>
      <c r="R176" s="167" t="str">
        <f>IF(R177="","",IF(AND(P177=R177,P177&lt;&gt;"",R177&lt;&gt;""),IF(AND(L173=V173,J173=X173),IF(AND(P178=R178,P178&lt;&gt;"",R178&lt;&gt;""),IF(AND(P179=R179,P179&lt;&gt;"",R179&lt;&gt;""),"",R177+R178+R179),R177+R178),R177),R177))</f>
        <v/>
      </c>
      <c r="S176" s="166"/>
      <c r="T176" s="169" t="str">
        <f>IF(P167&lt;&gt;"",IF(P168&gt;R168,N168,IF(R168&gt;P168,T168,IF(AND(P168=R168,L165&gt;V165),T168,IF(AND(P168=R168,L165&lt;V165),N168,"")))),"")</f>
        <v/>
      </c>
      <c r="U176" s="77"/>
      <c r="V176" s="77"/>
      <c r="W176" s="77"/>
      <c r="X176" s="77"/>
      <c r="Y176" s="77"/>
      <c r="Z176" s="79"/>
      <c r="AA176" s="77"/>
      <c r="AB176" s="77"/>
      <c r="AC176" s="77"/>
      <c r="AD176" s="134"/>
      <c r="AE176" s="134"/>
      <c r="AF176" s="79"/>
      <c r="DC176" s="94"/>
      <c r="DD176" s="132" t="s">
        <v>92</v>
      </c>
    </row>
    <row r="177" spans="2:108" ht="18" customHeight="1" x14ac:dyDescent="0.2">
      <c r="B177" s="76"/>
      <c r="C177" s="77"/>
      <c r="D177" s="77"/>
      <c r="E177" s="77"/>
      <c r="F177" s="77"/>
      <c r="G177" s="77"/>
      <c r="H177" s="76"/>
      <c r="I177" s="77"/>
      <c r="J177" s="77"/>
      <c r="K177" s="119"/>
      <c r="L177" s="118"/>
      <c r="M177" s="77"/>
      <c r="N177" s="156" t="s">
        <v>246</v>
      </c>
      <c r="O177" s="120"/>
      <c r="P177" s="84"/>
      <c r="Q177" s="84" t="s">
        <v>0</v>
      </c>
      <c r="R177" s="84"/>
      <c r="S177" s="77"/>
      <c r="T177" s="77"/>
      <c r="U177" s="77"/>
      <c r="V177" s="77"/>
      <c r="W177" s="77"/>
      <c r="X177" s="77"/>
      <c r="Y177" s="77"/>
      <c r="Z177" s="79"/>
      <c r="AA177" s="77"/>
      <c r="AB177" s="77"/>
      <c r="AC177" s="77"/>
      <c r="AD177" s="134"/>
      <c r="AE177" s="134"/>
      <c r="AF177" s="79"/>
      <c r="DC177" s="94"/>
      <c r="DD177" s="132" t="s">
        <v>93</v>
      </c>
    </row>
    <row r="178" spans="2:108" ht="18" customHeight="1" x14ac:dyDescent="0.2">
      <c r="B178" s="76"/>
      <c r="C178" s="77"/>
      <c r="D178" s="77"/>
      <c r="E178" s="77"/>
      <c r="F178" s="77"/>
      <c r="G178" s="77"/>
      <c r="H178" s="76"/>
      <c r="I178" s="77"/>
      <c r="J178" s="77"/>
      <c r="K178" s="119"/>
      <c r="L178" s="118"/>
      <c r="M178" s="77"/>
      <c r="N178" s="156" t="s">
        <v>247</v>
      </c>
      <c r="O178" s="120"/>
      <c r="P178" s="84"/>
      <c r="Q178" s="84" t="s">
        <v>0</v>
      </c>
      <c r="R178" s="84"/>
      <c r="S178" s="77"/>
      <c r="T178" s="77"/>
      <c r="U178" s="77"/>
      <c r="V178" s="77"/>
      <c r="W178" s="77"/>
      <c r="X178" s="77"/>
      <c r="Y178" s="77"/>
      <c r="Z178" s="79"/>
      <c r="AA178" s="77"/>
      <c r="AB178" s="77"/>
      <c r="AC178" s="77"/>
      <c r="AD178" s="134"/>
      <c r="AE178" s="134"/>
      <c r="AF178" s="79"/>
      <c r="DC178" s="94"/>
      <c r="DD178" s="132" t="s">
        <v>94</v>
      </c>
    </row>
    <row r="179" spans="2:108" ht="18" customHeight="1" x14ac:dyDescent="0.2">
      <c r="B179" s="76"/>
      <c r="C179" s="77"/>
      <c r="D179" s="77"/>
      <c r="E179" s="77"/>
      <c r="F179" s="77"/>
      <c r="G179" s="77"/>
      <c r="H179" s="76"/>
      <c r="I179" s="77"/>
      <c r="J179" s="77"/>
      <c r="K179" s="119"/>
      <c r="L179" s="118"/>
      <c r="M179" s="77"/>
      <c r="N179" s="156" t="s">
        <v>248</v>
      </c>
      <c r="O179" s="120"/>
      <c r="P179" s="84"/>
      <c r="Q179" s="84" t="s">
        <v>0</v>
      </c>
      <c r="R179" s="84"/>
      <c r="S179" s="77"/>
      <c r="T179" s="77"/>
      <c r="U179" s="77"/>
      <c r="V179" s="77"/>
      <c r="W179" s="77"/>
      <c r="X179" s="77"/>
      <c r="Y179" s="77"/>
      <c r="Z179" s="79"/>
      <c r="AA179" s="77"/>
      <c r="AB179" s="77"/>
      <c r="AC179" s="77"/>
      <c r="AD179" s="134"/>
      <c r="AE179" s="134"/>
      <c r="AF179" s="79"/>
      <c r="DC179" s="94"/>
      <c r="DD179" s="132" t="s">
        <v>95</v>
      </c>
    </row>
    <row r="180" spans="2:108" ht="6" customHeight="1" x14ac:dyDescent="0.2">
      <c r="B180" s="76"/>
      <c r="C180" s="77"/>
      <c r="D180" s="77"/>
      <c r="E180" s="77"/>
      <c r="F180" s="77"/>
      <c r="G180" s="77"/>
      <c r="H180" s="145"/>
      <c r="I180" s="146"/>
      <c r="J180" s="146"/>
      <c r="K180" s="164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8"/>
      <c r="AA180" s="77"/>
      <c r="AB180" s="77"/>
      <c r="AC180" s="77"/>
      <c r="AD180" s="134"/>
      <c r="AE180" s="134"/>
      <c r="AF180" s="79"/>
      <c r="DC180" s="94"/>
      <c r="DD180" s="132" t="s">
        <v>96</v>
      </c>
    </row>
    <row r="181" spans="2:108" ht="13.5" thickBot="1" x14ac:dyDescent="0.25">
      <c r="B181" s="76"/>
      <c r="C181" s="77"/>
      <c r="D181" s="77"/>
      <c r="E181" s="77"/>
      <c r="F181" s="77"/>
      <c r="G181" s="77"/>
      <c r="H181" s="77"/>
      <c r="I181" s="77"/>
      <c r="J181" s="77"/>
      <c r="K181" s="78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34"/>
      <c r="AE181" s="134"/>
      <c r="AF181" s="79"/>
      <c r="DC181" s="94"/>
      <c r="DD181" s="132" t="s">
        <v>97</v>
      </c>
    </row>
    <row r="182" spans="2:108" x14ac:dyDescent="0.2">
      <c r="B182" s="76"/>
      <c r="C182" s="77"/>
      <c r="D182" s="135"/>
      <c r="E182" s="136"/>
      <c r="F182" s="136"/>
      <c r="G182" s="136"/>
      <c r="H182" s="136"/>
      <c r="I182" s="136"/>
      <c r="J182" s="136"/>
      <c r="K182" s="136"/>
      <c r="L182" s="136"/>
      <c r="M182" s="136"/>
      <c r="N182" s="136"/>
      <c r="O182" s="136"/>
      <c r="P182" s="136"/>
      <c r="Q182" s="136"/>
      <c r="R182" s="136"/>
      <c r="S182" s="136"/>
      <c r="T182" s="136"/>
      <c r="U182" s="136"/>
      <c r="V182" s="136"/>
      <c r="W182" s="136"/>
      <c r="X182" s="136"/>
      <c r="Y182" s="136"/>
      <c r="Z182" s="136"/>
      <c r="AA182" s="136"/>
      <c r="AB182" s="136"/>
      <c r="AC182" s="136"/>
      <c r="AD182" s="137"/>
      <c r="AE182" s="138"/>
      <c r="AF182" s="79"/>
      <c r="DC182" s="94"/>
      <c r="DD182" s="132" t="s">
        <v>98</v>
      </c>
    </row>
    <row r="183" spans="2:108" ht="22.5" x14ac:dyDescent="0.2">
      <c r="B183" s="76"/>
      <c r="C183" s="77"/>
      <c r="D183" s="139"/>
      <c r="E183" s="77"/>
      <c r="F183" s="131" t="s">
        <v>309</v>
      </c>
      <c r="G183" s="77"/>
      <c r="H183" s="77"/>
      <c r="I183" s="77"/>
      <c r="J183" s="77"/>
      <c r="K183" s="77"/>
      <c r="L183" s="77"/>
      <c r="M183" s="77"/>
      <c r="N183" s="77"/>
      <c r="O183" s="77"/>
      <c r="P183" s="72" t="str">
        <f>IF(AND(P176&lt;&gt;"",R176&lt;&gt;""),IF(P176&gt;R176,UPPER(N176),IF(R176&gt;P176,UPPER(T176),IF(AND(P176=R176,L173&gt;V173),UPPER(T176),IF(AND(P176=R176,L173&lt;V173),UPPER(N176),"")))),"")</f>
        <v/>
      </c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34"/>
      <c r="AE183" s="140"/>
      <c r="AF183" s="79"/>
      <c r="DC183" s="94"/>
      <c r="DD183" s="132" t="s">
        <v>99</v>
      </c>
    </row>
    <row r="184" spans="2:108" ht="13.5" thickBot="1" x14ac:dyDescent="0.25">
      <c r="B184" s="76"/>
      <c r="C184" s="77"/>
      <c r="D184" s="141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42"/>
      <c r="W184" s="142"/>
      <c r="X184" s="142"/>
      <c r="Y184" s="142"/>
      <c r="Z184" s="142"/>
      <c r="AA184" s="142"/>
      <c r="AB184" s="142"/>
      <c r="AC184" s="142"/>
      <c r="AD184" s="143"/>
      <c r="AE184" s="144"/>
      <c r="AF184" s="79"/>
      <c r="DC184" s="94"/>
      <c r="DD184" s="132" t="s">
        <v>100</v>
      </c>
    </row>
    <row r="185" spans="2:108" x14ac:dyDescent="0.2">
      <c r="B185" s="145"/>
      <c r="C185" s="146"/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  <c r="AA185" s="146"/>
      <c r="AB185" s="146"/>
      <c r="AC185" s="146"/>
      <c r="AD185" s="147"/>
      <c r="AE185" s="147"/>
      <c r="AF185" s="148"/>
      <c r="DC185" s="94"/>
      <c r="DD185" s="132" t="s">
        <v>101</v>
      </c>
    </row>
    <row r="186" spans="2:108" x14ac:dyDescent="0.2">
      <c r="K186" s="91"/>
      <c r="DC186" s="94"/>
      <c r="DD186" s="132" t="s">
        <v>102</v>
      </c>
    </row>
    <row r="187" spans="2:108" x14ac:dyDescent="0.2">
      <c r="DC187" s="94"/>
      <c r="DD187" s="132" t="s">
        <v>103</v>
      </c>
    </row>
    <row r="188" spans="2:108" x14ac:dyDescent="0.2">
      <c r="DC188" s="94"/>
      <c r="DD188" s="132" t="s">
        <v>104</v>
      </c>
    </row>
    <row r="189" spans="2:108" x14ac:dyDescent="0.2">
      <c r="DC189" s="94"/>
      <c r="DD189" s="132" t="s">
        <v>105</v>
      </c>
    </row>
    <row r="190" spans="2:108" x14ac:dyDescent="0.2">
      <c r="DC190" s="94"/>
      <c r="DD190" s="132" t="s">
        <v>106</v>
      </c>
    </row>
    <row r="191" spans="2:108" x14ac:dyDescent="0.2">
      <c r="DC191" s="94"/>
      <c r="DD191" s="132" t="s">
        <v>107</v>
      </c>
    </row>
    <row r="192" spans="2:108" x14ac:dyDescent="0.2">
      <c r="DC192" s="94"/>
      <c r="DD192" s="132" t="s">
        <v>108</v>
      </c>
    </row>
    <row r="193" spans="107:108" x14ac:dyDescent="0.2">
      <c r="DC193" s="94"/>
      <c r="DD193" s="132" t="s">
        <v>109</v>
      </c>
    </row>
    <row r="194" spans="107:108" x14ac:dyDescent="0.2">
      <c r="DC194" s="94"/>
      <c r="DD194" s="132" t="s">
        <v>110</v>
      </c>
    </row>
    <row r="195" spans="107:108" x14ac:dyDescent="0.2">
      <c r="DC195" s="94"/>
      <c r="DD195" s="132" t="s">
        <v>111</v>
      </c>
    </row>
    <row r="196" spans="107:108" x14ac:dyDescent="0.2">
      <c r="DC196" s="94"/>
      <c r="DD196" s="132" t="s">
        <v>112</v>
      </c>
    </row>
    <row r="197" spans="107:108" x14ac:dyDescent="0.2">
      <c r="DC197" s="94"/>
      <c r="DD197" s="132" t="s">
        <v>113</v>
      </c>
    </row>
    <row r="198" spans="107:108" x14ac:dyDescent="0.2">
      <c r="DC198" s="94"/>
      <c r="DD198" s="132" t="s">
        <v>114</v>
      </c>
    </row>
    <row r="199" spans="107:108" x14ac:dyDescent="0.2">
      <c r="DC199" s="94"/>
      <c r="DD199" s="132" t="s">
        <v>115</v>
      </c>
    </row>
    <row r="200" spans="107:108" x14ac:dyDescent="0.2">
      <c r="DC200" s="94"/>
      <c r="DD200" s="132" t="s">
        <v>116</v>
      </c>
    </row>
    <row r="201" spans="107:108" x14ac:dyDescent="0.2">
      <c r="DC201" s="94"/>
      <c r="DD201" s="132" t="s">
        <v>117</v>
      </c>
    </row>
    <row r="202" spans="107:108" x14ac:dyDescent="0.2">
      <c r="DC202" s="94"/>
      <c r="DD202" s="132" t="s">
        <v>118</v>
      </c>
    </row>
    <row r="203" spans="107:108" x14ac:dyDescent="0.2">
      <c r="DC203" s="94"/>
      <c r="DD203" s="132" t="s">
        <v>119</v>
      </c>
    </row>
    <row r="204" spans="107:108" x14ac:dyDescent="0.2">
      <c r="DC204" s="94"/>
      <c r="DD204" s="132" t="s">
        <v>120</v>
      </c>
    </row>
    <row r="205" spans="107:108" x14ac:dyDescent="0.2">
      <c r="DC205" s="94"/>
      <c r="DD205" s="132" t="s">
        <v>121</v>
      </c>
    </row>
    <row r="206" spans="107:108" x14ac:dyDescent="0.2">
      <c r="DC206" s="94"/>
      <c r="DD206" s="132" t="s">
        <v>122</v>
      </c>
    </row>
    <row r="207" spans="107:108" x14ac:dyDescent="0.2">
      <c r="DC207" s="94"/>
      <c r="DD207" s="132" t="s">
        <v>123</v>
      </c>
    </row>
    <row r="208" spans="107:108" x14ac:dyDescent="0.2">
      <c r="DC208" s="94"/>
      <c r="DD208" s="132" t="s">
        <v>124</v>
      </c>
    </row>
    <row r="209" spans="107:108" x14ac:dyDescent="0.2">
      <c r="DC209" s="94"/>
      <c r="DD209" s="132" t="s">
        <v>125</v>
      </c>
    </row>
    <row r="210" spans="107:108" x14ac:dyDescent="0.2">
      <c r="DC210" s="94"/>
      <c r="DD210" s="132" t="s">
        <v>126</v>
      </c>
    </row>
    <row r="211" spans="107:108" x14ac:dyDescent="0.2">
      <c r="DC211" s="94"/>
      <c r="DD211" s="132" t="s">
        <v>127</v>
      </c>
    </row>
    <row r="212" spans="107:108" x14ac:dyDescent="0.2">
      <c r="DC212" s="94"/>
      <c r="DD212" s="132" t="s">
        <v>128</v>
      </c>
    </row>
    <row r="213" spans="107:108" x14ac:dyDescent="0.2">
      <c r="DC213" s="94"/>
      <c r="DD213" s="132" t="s">
        <v>129</v>
      </c>
    </row>
    <row r="214" spans="107:108" x14ac:dyDescent="0.2">
      <c r="DC214" s="94"/>
      <c r="DD214" s="132" t="s">
        <v>130</v>
      </c>
    </row>
    <row r="215" spans="107:108" x14ac:dyDescent="0.2">
      <c r="DC215" s="94"/>
      <c r="DD215" s="132" t="s">
        <v>131</v>
      </c>
    </row>
    <row r="216" spans="107:108" x14ac:dyDescent="0.2">
      <c r="DC216" s="94"/>
      <c r="DD216" s="132" t="s">
        <v>132</v>
      </c>
    </row>
    <row r="217" spans="107:108" x14ac:dyDescent="0.2">
      <c r="DC217" s="94"/>
      <c r="DD217" s="132" t="s">
        <v>133</v>
      </c>
    </row>
    <row r="218" spans="107:108" x14ac:dyDescent="0.2">
      <c r="DC218" s="94"/>
      <c r="DD218" s="132" t="s">
        <v>134</v>
      </c>
    </row>
    <row r="219" spans="107:108" x14ac:dyDescent="0.2">
      <c r="DC219" s="94"/>
      <c r="DD219" s="132" t="s">
        <v>135</v>
      </c>
    </row>
    <row r="220" spans="107:108" x14ac:dyDescent="0.2">
      <c r="DC220" s="94"/>
      <c r="DD220" s="132" t="s">
        <v>136</v>
      </c>
    </row>
    <row r="221" spans="107:108" x14ac:dyDescent="0.2">
      <c r="DC221" s="94"/>
      <c r="DD221" s="132" t="s">
        <v>137</v>
      </c>
    </row>
    <row r="222" spans="107:108" x14ac:dyDescent="0.2">
      <c r="DC222" s="94"/>
      <c r="DD222" s="132" t="s">
        <v>138</v>
      </c>
    </row>
    <row r="223" spans="107:108" x14ac:dyDescent="0.2">
      <c r="DC223" s="94"/>
      <c r="DD223" s="132" t="s">
        <v>139</v>
      </c>
    </row>
    <row r="224" spans="107:108" x14ac:dyDescent="0.2">
      <c r="DC224" s="94"/>
      <c r="DD224" s="132" t="s">
        <v>140</v>
      </c>
    </row>
    <row r="225" spans="31:108" x14ac:dyDescent="0.2">
      <c r="DC225" s="94"/>
      <c r="DD225" s="132" t="s">
        <v>141</v>
      </c>
    </row>
    <row r="226" spans="31:108" x14ac:dyDescent="0.2">
      <c r="DC226" s="94"/>
      <c r="DD226" s="132" t="s">
        <v>142</v>
      </c>
    </row>
    <row r="227" spans="31:108" x14ac:dyDescent="0.2">
      <c r="DC227" s="94"/>
      <c r="DD227" s="94"/>
    </row>
    <row r="228" spans="31:108" x14ac:dyDescent="0.2">
      <c r="DC228" s="94"/>
      <c r="DD228" s="94"/>
    </row>
    <row r="229" spans="31:108" x14ac:dyDescent="0.2">
      <c r="DC229" s="94"/>
      <c r="DD229" s="94"/>
    </row>
    <row r="230" spans="31:108" x14ac:dyDescent="0.2">
      <c r="DC230" s="94"/>
      <c r="DD230" s="94"/>
    </row>
    <row r="231" spans="31:108" x14ac:dyDescent="0.2">
      <c r="DC231" s="94"/>
      <c r="DD231" s="94"/>
    </row>
    <row r="232" spans="31:108" x14ac:dyDescent="0.2">
      <c r="DC232" s="94"/>
      <c r="DD232" s="94"/>
    </row>
    <row r="233" spans="31:108" x14ac:dyDescent="0.2">
      <c r="DC233" s="94"/>
      <c r="DD233" s="94"/>
    </row>
    <row r="234" spans="31:108" x14ac:dyDescent="0.2">
      <c r="DC234" s="94"/>
      <c r="DD234" s="94"/>
    </row>
    <row r="235" spans="31:108" x14ac:dyDescent="0.2">
      <c r="DC235" s="94"/>
      <c r="DD235" s="94"/>
    </row>
    <row r="236" spans="31:108" x14ac:dyDescent="0.2">
      <c r="DC236" s="94"/>
      <c r="DD236" s="94"/>
    </row>
    <row r="237" spans="31:108" x14ac:dyDescent="0.2">
      <c r="DC237" s="94"/>
      <c r="DD237" s="94"/>
    </row>
    <row r="238" spans="31:108" x14ac:dyDescent="0.2">
      <c r="DC238" s="94"/>
      <c r="DD238" s="94"/>
    </row>
    <row r="239" spans="31:108" x14ac:dyDescent="0.2">
      <c r="AE239" s="94"/>
      <c r="AF239" s="94"/>
    </row>
  </sheetData>
  <sheetProtection sheet="1"/>
  <mergeCells count="39">
    <mergeCell ref="D2:AC4"/>
    <mergeCell ref="C131:P131"/>
    <mergeCell ref="R131:AE131"/>
    <mergeCell ref="C163:P163"/>
    <mergeCell ref="R163:AE163"/>
    <mergeCell ref="B173:AF173"/>
    <mergeCell ref="C141:P141"/>
    <mergeCell ref="R141:AE141"/>
    <mergeCell ref="B151:AF151"/>
    <mergeCell ref="C153:P153"/>
    <mergeCell ref="R153:AE153"/>
    <mergeCell ref="C121:P121"/>
    <mergeCell ref="R121:AE121"/>
    <mergeCell ref="C111:P111"/>
    <mergeCell ref="R111:AE111"/>
    <mergeCell ref="B109:AF109"/>
    <mergeCell ref="C71:P71"/>
    <mergeCell ref="Z95:AC95"/>
    <mergeCell ref="Z96:AC96"/>
    <mergeCell ref="T95:W95"/>
    <mergeCell ref="T96:W96"/>
    <mergeCell ref="C41:P41"/>
    <mergeCell ref="R41:AE41"/>
    <mergeCell ref="C31:P31"/>
    <mergeCell ref="R31:AE31"/>
    <mergeCell ref="R71:AE71"/>
    <mergeCell ref="C81:P81"/>
    <mergeCell ref="R81:AE81"/>
    <mergeCell ref="C51:P51"/>
    <mergeCell ref="R51:AE51"/>
    <mergeCell ref="J107:N107"/>
    <mergeCell ref="B9:AF9"/>
    <mergeCell ref="B7:AF7"/>
    <mergeCell ref="C11:P11"/>
    <mergeCell ref="R11:AE11"/>
    <mergeCell ref="C61:P61"/>
    <mergeCell ref="R61:AE61"/>
    <mergeCell ref="C21:P21"/>
    <mergeCell ref="R21:AE21"/>
  </mergeCells>
  <phoneticPr fontId="2" type="noConversion"/>
  <conditionalFormatting sqref="M16 M176 M66 M76 M26 M36 M46 M56 M86 M116 M126 M136 M146 M158 M168">
    <cfRule type="expression" dxfId="14" priority="1" stopIfTrue="1">
      <formula>AND(ISNUMBER(P16),ISNUMBER(R16),P16&gt;R16)</formula>
    </cfRule>
  </conditionalFormatting>
  <conditionalFormatting sqref="N13 Z13 N23 N33 N53 Z53 Z33 N63 Z63 N43 N165 Z165 Z43 Z23 N73 Z73 N113 Z113 N123 Z123 N133 Z133 N143 Z143 N155 Z155 N83 Z83">
    <cfRule type="expression" dxfId="13" priority="2" stopIfTrue="1">
      <formula>J13&gt;L13</formula>
    </cfRule>
    <cfRule type="expression" dxfId="12" priority="3" stopIfTrue="1">
      <formula>J13&lt;L13</formula>
    </cfRule>
  </conditionalFormatting>
  <conditionalFormatting sqref="H13 T13 H23 H33 H53 T53 T33 H63 T63 H43 H165 T165 T43 T23 H73 T73 H113 T113 H123 T123 H133 T133 H143 T143 H155 T155 H83 T83">
    <cfRule type="expression" dxfId="11" priority="4" stopIfTrue="1">
      <formula>J13&gt;L13</formula>
    </cfRule>
    <cfRule type="expression" dxfId="10" priority="5" stopIfTrue="1">
      <formula>J13&lt;L13</formula>
    </cfRule>
  </conditionalFormatting>
  <conditionalFormatting sqref="N16 N26 N36 N46 N56 N66 N76 N86 N116 N126 N136 N146 N158 N168">
    <cfRule type="expression" dxfId="9" priority="6" stopIfTrue="1">
      <formula>OR(P16&gt;R16,N16&amp;" win on away goals"=P15)</formula>
    </cfRule>
    <cfRule type="expression" dxfId="8" priority="7" stopIfTrue="1">
      <formula>OR(P16&lt;R16,T16&amp;" win on away goals"=P15)</formula>
    </cfRule>
  </conditionalFormatting>
  <conditionalFormatting sqref="T16 T26 T36 T46 T56 T66 T76 T86 T116 T126 T136 T146 T158 T168">
    <cfRule type="expression" dxfId="7" priority="8" stopIfTrue="1">
      <formula>OR(P16&gt;R16,N16&amp;" win on away goals"=P15)</formula>
    </cfRule>
    <cfRule type="expression" dxfId="6" priority="9" stopIfTrue="1">
      <formula>OR(P16&lt;R16,T16&amp;" win on away goals"=P15)</formula>
    </cfRule>
  </conditionalFormatting>
  <conditionalFormatting sqref="P177:P179 R177:R179 J155 L155 V155 X155 J133 L133 V133 X133 R137:R139 P127:P129 J73 L73 V73 X73 R87:R89 P77:P79 J113 L113 V113 X113 R117:R119 P87:P89 J123 L123 V123 X123 R127:R129 P117:P119 J143 L143 V143 X143 R147:R149 P137:P139 R159:R161 P147:P149 J43 L43 J13 L13 J53 L53 V53 X53 R67:R69 P57:P59 J63 L63 V63 X63 R77:R79 P67:P69 V165 X165 P159:P161 R169:R171 R27:R29 P17:P19 J23 L23 V23 X23 R37:R39 P27:P29 J33 L33 V33 X33 R47:R49 P37:P39 V43 X43 R57:R59 P47:P49 V13 X13 R17:R19 P169:P171 J165 L165 J83 L83 V83 X83">
    <cfRule type="expression" dxfId="5" priority="10" stopIfTrue="1">
      <formula>ISBLANK(J13)</formula>
    </cfRule>
  </conditionalFormatting>
  <conditionalFormatting sqref="Z95:Z96 T95:T96 N94:N97 H94:H97">
    <cfRule type="cellIs" dxfId="4" priority="11" stopIfTrue="1" operator="notEqual">
      <formula>""</formula>
    </cfRule>
  </conditionalFormatting>
  <conditionalFormatting sqref="N176">
    <cfRule type="expression" dxfId="3" priority="12" stopIfTrue="1">
      <formula>$P$176&gt;$R$176</formula>
    </cfRule>
    <cfRule type="expression" dxfId="2" priority="13" stopIfTrue="1">
      <formula>$P$176&lt;$R$176</formula>
    </cfRule>
  </conditionalFormatting>
  <conditionalFormatting sqref="T176">
    <cfRule type="expression" dxfId="1" priority="14" stopIfTrue="1">
      <formula>$R$176&gt;$P$176</formula>
    </cfRule>
    <cfRule type="expression" dxfId="0" priority="15" stopIfTrue="1">
      <formula>$R$176&lt;$P$176</formula>
    </cfRule>
  </conditionalFormatting>
  <dataValidations count="2">
    <dataValidation type="list" allowBlank="1" showInputMessage="1" showErrorMessage="1" sqref="N94:N97 H94:H97">
      <formula1>$H$99:$H$106</formula1>
    </dataValidation>
    <dataValidation type="list" allowBlank="1" showInputMessage="1" showErrorMessage="1" sqref="Z95:Z96 T95:T96">
      <formula1>$T$99:$T$102</formula1>
    </dataValidation>
  </dataValidations>
  <hyperlinks>
    <hyperlink ref="H2:N4" r:id="rId1" display="VISIT WWW.EXCELTEMPLATE.NET FOR MORE TEMPLATES"/>
    <hyperlink ref="D2:N4" r:id="rId2" display="VISIT WWW.EXCELTEMPLATE.NET FOR MORE TEMPLATES AND UPDATES"/>
    <hyperlink ref="D2:AC4" r:id="rId3" display="Besuchen Sie exceltabelle.com fur mehrere vorlagen und updates"/>
  </hyperlinks>
  <printOptions horizontalCentered="1" verticalCentered="1"/>
  <pageMargins left="0.39" right="0.32" top="0.43" bottom="0.25" header="0.25" footer="0.19"/>
  <pageSetup scale="28" orientation="portrait" horizontalDpi="300" verticalDpi="300" r:id="rId4"/>
  <headerFooter alignWithMargins="0">
    <oddHeader>&amp;C&amp;"Arial,Bold"&amp;16UEFA CHAMPIONS LEAGUE 2011/2012 ACHTELFINALE</oddHeader>
    <oddFooter>&amp;C
copyright (c) 2011 exceltabelle.com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9"/>
  <sheetViews>
    <sheetView showGridLines="0" showRowColHeaders="0" workbookViewId="0">
      <selection activeCell="K3" sqref="K3"/>
    </sheetView>
  </sheetViews>
  <sheetFormatPr defaultColWidth="3.7109375" defaultRowHeight="12.75" x14ac:dyDescent="0.2"/>
  <cols>
    <col min="1" max="113" width="2.7109375" style="5" customWidth="1"/>
    <col min="114" max="16384" width="3.7109375" style="5"/>
  </cols>
  <sheetData>
    <row r="1" spans="1:109" x14ac:dyDescent="0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Q1" s="73"/>
      <c r="R1" s="73"/>
      <c r="S1" s="73"/>
      <c r="T1" s="73"/>
      <c r="U1" s="73"/>
      <c r="V1" s="73"/>
      <c r="BE1" s="73"/>
      <c r="BF1" s="73"/>
      <c r="BG1" s="74"/>
      <c r="BQ1" s="73"/>
    </row>
    <row r="2" spans="1:109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</row>
    <row r="3" spans="1:109" x14ac:dyDescent="0.2">
      <c r="P3" s="73"/>
      <c r="Q3" s="73"/>
      <c r="R3" s="73"/>
      <c r="S3" s="73"/>
      <c r="T3" s="73"/>
      <c r="U3" s="73"/>
      <c r="V3" s="73"/>
      <c r="W3" s="73"/>
      <c r="Y3" s="73"/>
      <c r="Z3" s="73"/>
      <c r="AA3" s="73"/>
      <c r="AB3" s="73"/>
      <c r="AC3" s="73"/>
      <c r="AD3" s="73"/>
      <c r="AE3" s="73"/>
      <c r="AF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J3" s="73"/>
      <c r="BQ3" s="73"/>
      <c r="BR3" s="73"/>
      <c r="CF3" s="73"/>
      <c r="CG3" s="73"/>
      <c r="CH3" s="73"/>
      <c r="CI3" s="73"/>
      <c r="CJ3" s="73"/>
      <c r="CK3" s="73"/>
      <c r="CL3" s="73"/>
      <c r="CM3" s="73"/>
      <c r="CO3" s="73"/>
      <c r="CP3" s="73"/>
      <c r="CQ3" s="73"/>
      <c r="CR3" s="73"/>
      <c r="CS3" s="73"/>
    </row>
    <row r="4" spans="1:109" x14ac:dyDescent="0.2">
      <c r="A4" s="5">
        <f>Y4+Z4+AA4+AB4</f>
        <v>1</v>
      </c>
      <c r="B4" s="5" t="str">
        <f>'Club Namen'!B3</f>
        <v>Bayern München</v>
      </c>
      <c r="C4" s="5">
        <f>SUMPRODUCT((Gruppenphase!$I$13:$I$108&lt;&gt;"")*(Gruppenphase!$K$13:$K$108&lt;&gt;"")*(Gruppenphase!$G$13:$G$108='Dummy Table'!$B4)*(Gruppenphase!$I$13:$I$108&gt;Gruppenphase!$K$13:$K$108))</f>
        <v>0</v>
      </c>
      <c r="D4" s="5">
        <f>SUMPRODUCT((Gruppenphase!$I$13:$I$108&lt;&gt;"")*(Gruppenphase!$K$13:$K$108&lt;&gt;"")*(Gruppenphase!$G$13:$G$108='Dummy Table'!$B4)*(Gruppenphase!$I$13:$I$108=Gruppenphase!$K$13:$K$108))</f>
        <v>0</v>
      </c>
      <c r="E4" s="5">
        <f>SUMPRODUCT((Gruppenphase!$I$13:$I$108&lt;&gt;"")*(Gruppenphase!$K$13:$K$108&lt;&gt;"")*(Gruppenphase!$G$13:$G$108='Dummy Table'!$B4)*(Gruppenphase!$I$13:$I$108&lt;Gruppenphase!$K$13:$K$108))</f>
        <v>0</v>
      </c>
      <c r="F4" s="5">
        <f>SUMIF(Gruppenphase!$G$13:$G$108,'Dummy Table'!$B4,Gruppenphase!$I$13:$I$108)</f>
        <v>0</v>
      </c>
      <c r="G4" s="5">
        <f>SUMIF(Gruppenphase!$G$13:$G$108,'Dummy Table'!$B4,Gruppenphase!$K$13:$K$108)</f>
        <v>0</v>
      </c>
      <c r="H4" s="5">
        <f>F4-G4</f>
        <v>0</v>
      </c>
      <c r="I4" s="5">
        <f>C4*3+D4*1</f>
        <v>0</v>
      </c>
      <c r="J4" s="5">
        <f>SUMPRODUCT((Gruppenphase!$I$13:$I$108&lt;&gt;"")*(Gruppenphase!$K$13:$K$108&lt;&gt;"")*(Gruppenphase!$M$13:$M$108='Dummy Table'!$B4)*(Gruppenphase!$I$13:$I$108&lt;Gruppenphase!$K$13:$K$108))</f>
        <v>0</v>
      </c>
      <c r="K4" s="5">
        <f>SUMPRODUCT((Gruppenphase!$I$13:$I$108&lt;&gt;"")*(Gruppenphase!$K$13:$K$108&lt;&gt;"")*(Gruppenphase!$M$13:$M$108='Dummy Table'!$B4)*(Gruppenphase!$I$13:$I$108=Gruppenphase!$K$13:$K$108))</f>
        <v>0</v>
      </c>
      <c r="L4" s="5">
        <f>SUMPRODUCT((Gruppenphase!$I$13:$I$108&lt;&gt;"")*(Gruppenphase!$K$13:$K$108&lt;&gt;"")*(Gruppenphase!$M$13:$M$108='Dummy Table'!$B4)*(Gruppenphase!$I$13:$I$108&gt;Gruppenphase!$K$13:$K$108))</f>
        <v>0</v>
      </c>
      <c r="M4" s="5">
        <f>SUMIF(Gruppenphase!$M$13:$M$108,'Dummy Table'!$B4,Gruppenphase!$K$13:$K$108)</f>
        <v>0</v>
      </c>
      <c r="N4" s="5">
        <f>SUMIF(Gruppenphase!$M$13:$M$108,'Dummy Table'!$B4,Gruppenphase!$I$13:$I$108)</f>
        <v>0</v>
      </c>
      <c r="O4" s="5">
        <f>M4-N4</f>
        <v>0</v>
      </c>
      <c r="P4" s="5">
        <f>J4*3+K4*1</f>
        <v>0</v>
      </c>
      <c r="Q4" s="5">
        <f>C4+J4</f>
        <v>0</v>
      </c>
      <c r="R4" s="5">
        <f t="shared" ref="R4:W4" si="0">D4+K4</f>
        <v>0</v>
      </c>
      <c r="S4" s="5">
        <f t="shared" si="0"/>
        <v>0</v>
      </c>
      <c r="T4" s="5">
        <f t="shared" si="0"/>
        <v>0</v>
      </c>
      <c r="U4" s="5">
        <f t="shared" si="0"/>
        <v>0</v>
      </c>
      <c r="V4" s="5">
        <f t="shared" si="0"/>
        <v>0</v>
      </c>
      <c r="W4" s="5">
        <f t="shared" si="0"/>
        <v>0</v>
      </c>
      <c r="X4" s="5">
        <v>98</v>
      </c>
      <c r="Y4" s="5">
        <f>RANK(W4,W$4:W$7)</f>
        <v>1</v>
      </c>
      <c r="Z4" s="5">
        <f>SUMPRODUCT((W$4:W$7=W4)*(V$4:V$7&gt;V4))</f>
        <v>0</v>
      </c>
      <c r="AA4" s="5">
        <f>SUMPRODUCT((Y$4:Y$7=Y4)*(Z$4:Z$7=Z4)*(T$4:T$7&gt;T4))</f>
        <v>0</v>
      </c>
      <c r="AB4" s="5">
        <f>SUMPRODUCT((Y$4:Y$7=Y4)*(Z$4:Z$7=Z4)*(T$4:T$7=T4)*(X$4:X$7&gt;X4))</f>
        <v>0</v>
      </c>
      <c r="AC4" s="5">
        <v>1</v>
      </c>
      <c r="AD4" s="5" t="str">
        <f>VLOOKUP(AC4,$A$4:$B$7,2,FALSE)</f>
        <v>Bayern München</v>
      </c>
      <c r="AE4" s="5">
        <f>VLOOKUP($AD4,$B$4:$W$7,22,FALSE)</f>
        <v>0</v>
      </c>
      <c r="AF4" s="5" t="str">
        <f>IF(AE4=AE5,AD4,"")</f>
        <v>Bayern München</v>
      </c>
      <c r="AG4" s="5">
        <f>SUMPRODUCT(($BK$4:$BK$99='Dummy Table'!$AF4)*($BL$4:$BL$99&gt;$BM$4:$BM$99))</f>
        <v>0</v>
      </c>
      <c r="AH4" s="5">
        <f>SUMPRODUCT(($BK$4:$BK$99='Dummy Table'!$AF4)*($BL$4:$BL$99=$BM$4:$BM$99))</f>
        <v>0</v>
      </c>
      <c r="AI4" s="5">
        <f>SUMPRODUCT(($BK$4:$BK$99='Dummy Table'!$AF4)*($BL$4:$BL$99&lt;$BM$4:$BM$99))</f>
        <v>0</v>
      </c>
      <c r="AJ4" s="5">
        <f>SUMIF($BK$4:$BK$99,'Dummy Table'!$AF4,$BL$4:$BL$99)</f>
        <v>0</v>
      </c>
      <c r="AK4" s="5">
        <f>SUMIF($BK$4:$BK$99,'Dummy Table'!$AF4,$BM$4:$BM$99)</f>
        <v>0</v>
      </c>
      <c r="AL4" s="5">
        <f>AJ4-AK4</f>
        <v>0</v>
      </c>
      <c r="AM4" s="5">
        <f>IF(AF4&lt;&gt;"",AG4*3+AH4*1,"")</f>
        <v>0</v>
      </c>
      <c r="AN4" s="5">
        <f>SUMPRODUCT(($BN$4:$BN$99='Dummy Table'!$AF4)*($BL$4:$BL$99&lt;$BM$4:$BM$99))</f>
        <v>0</v>
      </c>
      <c r="AO4" s="5">
        <f>SUMPRODUCT(($BN$4:$BN$99='Dummy Table'!$AF4)*($BL$4:$BL$99=$BM$4:$BM$99))</f>
        <v>0</v>
      </c>
      <c r="AP4" s="5">
        <f>SUMPRODUCT(($BN$4:$BN$99='Dummy Table'!$AF4)*($BL$4:$BL$99&gt;$BM$4:$BM$99))</f>
        <v>0</v>
      </c>
      <c r="AQ4" s="5">
        <f>SUMIF($BN$4:$BN$99,'Dummy Table'!$AF4,$BM$4:$BM$99)</f>
        <v>0</v>
      </c>
      <c r="AR4" s="5">
        <f>SUMIF($BN$4:$BN$99,'Dummy Table'!$AF4,$BL$4:$BL$99)</f>
        <v>0</v>
      </c>
      <c r="AS4" s="5">
        <f>AQ4-AR4</f>
        <v>0</v>
      </c>
      <c r="AT4" s="5">
        <f>IF(AF4&lt;&gt;"",AN4*3+AO4*1,"")</f>
        <v>0</v>
      </c>
      <c r="AU4" s="5">
        <f t="shared" ref="AU4:AZ4" si="1">AG4+AN4</f>
        <v>0</v>
      </c>
      <c r="AV4" s="5">
        <f t="shared" si="1"/>
        <v>0</v>
      </c>
      <c r="AW4" s="5">
        <f t="shared" si="1"/>
        <v>0</v>
      </c>
      <c r="AX4" s="5">
        <f t="shared" si="1"/>
        <v>0</v>
      </c>
      <c r="AY4" s="5">
        <f t="shared" si="1"/>
        <v>0</v>
      </c>
      <c r="AZ4" s="5">
        <f t="shared" si="1"/>
        <v>0</v>
      </c>
      <c r="BA4" s="5">
        <f>IF(AF4&lt;&gt;"",AM4+AT4,-1)</f>
        <v>0</v>
      </c>
      <c r="BB4" s="5">
        <f>IF(AF4&lt;&gt;"",VLOOKUP(AF4,$B$4:$V$35,21,FALSE),"")</f>
        <v>0</v>
      </c>
      <c r="BC4" s="5">
        <f>IF(AF4&lt;&gt;"",VLOOKUP(AF4,$B$4:$T$35,19,FALSE),"")</f>
        <v>0</v>
      </c>
      <c r="BD4" s="5">
        <f>IF(AF4&lt;&gt;"",VLOOKUP(AF4,$B$4:$X$35,23,FALSE),"")</f>
        <v>98</v>
      </c>
      <c r="BE4" s="75">
        <f>RANK(BA4,BA$4:BA$7)</f>
        <v>1</v>
      </c>
      <c r="BF4" s="75">
        <f>SUMPRODUCT((BA$4:BA$7=BA4)*(AZ$4:AZ$7&gt;AZ4))</f>
        <v>0</v>
      </c>
      <c r="BG4" s="75">
        <f>SUMPRODUCT((BA$4:BA$7=BA4)*(BE$4:BE$7=BE4)*(AZ$4:AZ$7=AZ4)*(AQ$4:AQ$7&gt;AQ4))</f>
        <v>0</v>
      </c>
      <c r="BH4" s="75">
        <f>SUMPRODUCT((BA$4:BA$7=BA4)*(BE$4:BE$7=BE4)*(AZ$4:AZ$7=AZ4)*(AQ$4:AQ$7=AQ4)*(BB$4:BB$7&gt;BB4))</f>
        <v>0</v>
      </c>
      <c r="BI4" s="75">
        <f>SUMPRODUCT((BA$4:BA$7=BA4)*(BE$4:BE$7=BE4)*(AZ$4:AZ$7=AZ4)*(AQ$4:AQ$7=AQ4)*(BB$4:BB$7=BB4)*(BC$4:BC$7&gt;BC4))</f>
        <v>0</v>
      </c>
      <c r="BJ4" s="75">
        <f>SUMPRODUCT((BA$4:BA$7=BA4)*(BE$4:BE$7=BE4)*(AZ$4:AZ$7=AZ4)*(AQ$4:AQ$7=AQ4)*(BB$4:BB$7=BB4)*(BC$4:BC$7=BC4)*(BD$4:BD$7&gt;BD4))</f>
        <v>0</v>
      </c>
      <c r="BK4" s="5" t="str">
        <f>IF(AND(COUNTIF($AF$4:$AF$35,Gruppenphase!G13)&gt;0,COUNTIF($AF$4:$AF$35,Gruppenphase!M13)&gt;0,Gruppenphase!I13&lt;&gt;"",Gruppenphase!K13&lt;&gt;""),Gruppenphase!G13,"")</f>
        <v/>
      </c>
      <c r="BL4" s="5" t="str">
        <f>IF($BK4&lt;&gt;"",Gruppenphase!$I13,"")</f>
        <v/>
      </c>
      <c r="BM4" s="5" t="str">
        <f>IF($BK4&lt;&gt;"",Gruppenphase!$K13,"")</f>
        <v/>
      </c>
      <c r="BN4" s="5" t="str">
        <f>IF($BK4&lt;&gt;"",Gruppenphase!$M13,"")</f>
        <v/>
      </c>
      <c r="BO4" s="5">
        <f t="shared" ref="BO4:BO35" si="2">IF(AF4="","",SUM(BE4:BJ4))</f>
        <v>1</v>
      </c>
      <c r="BP4" s="5" t="str">
        <f>IF(AF4="","",AF4)</f>
        <v>Bayern München</v>
      </c>
      <c r="BQ4" s="5">
        <f>VLOOKUP($AD4,$B$4:$W$7,22,FALSE)</f>
        <v>0</v>
      </c>
      <c r="BS4" s="5">
        <f>SUMPRODUCT(($BK$4:$BK$99='Dummy Table'!$AF4)*($BL$4:$BL$99&gt;$BM$4:$BM$99))</f>
        <v>0</v>
      </c>
      <c r="BT4" s="5">
        <f>SUMPRODUCT(($BK$4:$BK$99='Dummy Table'!$AF4)*($BL$4:$BL$99=$BM$4:$BM$99))</f>
        <v>0</v>
      </c>
      <c r="BU4" s="5">
        <f>SUMPRODUCT(($BK$4:$BK$99='Dummy Table'!$AF4)*($BL$4:$BL$99&lt;$BM$4:$BM$99))</f>
        <v>0</v>
      </c>
      <c r="BV4" s="5">
        <f>SUMIF($BK$4:$BK$99,'Dummy Table'!$AF4,$BL$4:$BL$99)</f>
        <v>0</v>
      </c>
      <c r="BW4" s="5">
        <f>SUMIF($BK$4:$BK$99,'Dummy Table'!$AF4,$BM$4:$BM$99)</f>
        <v>0</v>
      </c>
      <c r="BX4" s="5">
        <f>BV4-BW4</f>
        <v>0</v>
      </c>
      <c r="BY4" s="5" t="str">
        <f>IF(BR4&lt;&gt;"",BS4*3+BT4*1,"")</f>
        <v/>
      </c>
      <c r="BZ4" s="5">
        <f>SUMPRODUCT(($BN$4:$BN$99='Dummy Table'!$AF4)*($BL$4:$BL$99&lt;$BM$4:$BM$99))</f>
        <v>0</v>
      </c>
      <c r="CA4" s="5">
        <f>SUMPRODUCT(($BN$4:$BN$99='Dummy Table'!$AF4)*($BL$4:$BL$99=$BM$4:$BM$99))</f>
        <v>0</v>
      </c>
      <c r="CB4" s="5">
        <f>SUMPRODUCT(($BN$4:$BN$99='Dummy Table'!$AF4)*($BL$4:$BL$99&gt;$BM$4:$BM$99))</f>
        <v>0</v>
      </c>
      <c r="CC4" s="5">
        <f>SUMIF($BN$4:$BN$99,'Dummy Table'!$AF4,$BM$4:$BM$99)</f>
        <v>0</v>
      </c>
      <c r="CD4" s="5">
        <f>SUMIF($BN$4:$BN$99,'Dummy Table'!$AF4,$BL$4:$BL$99)</f>
        <v>0</v>
      </c>
      <c r="CE4" s="5">
        <f>CC4-CD4</f>
        <v>0</v>
      </c>
      <c r="CF4" s="5" t="str">
        <f>IF(BR4&lt;&gt;"",BZ4*3+CA4*1,"")</f>
        <v/>
      </c>
      <c r="CG4" s="5">
        <f>BS4+BZ4</f>
        <v>0</v>
      </c>
      <c r="CH4" s="5">
        <f t="shared" ref="CH4:CH35" si="3">BT4+CA4</f>
        <v>0</v>
      </c>
      <c r="CI4" s="5">
        <f t="shared" ref="CI4:CI35" si="4">BU4+CB4</f>
        <v>0</v>
      </c>
      <c r="CJ4" s="5">
        <f t="shared" ref="CJ4:CJ35" si="5">BV4+CC4</f>
        <v>0</v>
      </c>
      <c r="CK4" s="5">
        <f t="shared" ref="CK4:CK35" si="6">BW4+CD4</f>
        <v>0</v>
      </c>
      <c r="CL4" s="5">
        <f t="shared" ref="CL4:CL35" si="7">BX4+CE4</f>
        <v>0</v>
      </c>
      <c r="CM4" s="5">
        <f>IF(BR4&lt;&gt;"",BY4+CF4,-1)</f>
        <v>-1</v>
      </c>
      <c r="CN4" s="5">
        <v>1</v>
      </c>
      <c r="CO4" s="5">
        <f>RANK(CM4,CM$4:CM$7)</f>
        <v>1</v>
      </c>
      <c r="CP4" s="5">
        <f>SUMPRODUCT((CM$4:CM$7=CM4)*(CO$4:CO$7=CO4)*(CC$4:CC$7&gt;CC4))</f>
        <v>0</v>
      </c>
      <c r="CQ4" s="5">
        <f>SUMPRODUCT((CM$4:CM$7=CM4)*(CL$4:CL$7&gt;CL4))</f>
        <v>0</v>
      </c>
      <c r="CR4" s="5">
        <f>SUMPRODUCT((CO$4:CO$7=CO4)*(CQ$4:CQ$7=CQ4)*(CJ$4:CJ$7&gt;CJ4))</f>
        <v>0</v>
      </c>
      <c r="CS4" s="5">
        <f>SUMPRODUCT((CO$4:CO$7=CO4)*(CQ$4:CQ$7=CQ4)*(CJ$4:CJ$7=CJ4)*(CN$4:CN$7&gt;CN4))</f>
        <v>3</v>
      </c>
      <c r="CT4" s="5" t="str">
        <f>IF(AND(COUNTIF($AF$4:$AF$35,Gruppenphase!$G13)&gt;0,COUNTIF($AF$4:$AF$35,Gruppenphase!$M13)&gt;0),Gruppenphase!$G13,"")</f>
        <v>Genk</v>
      </c>
      <c r="CU4" s="5" t="str">
        <f>IF($BK4&lt;&gt;"",Gruppenphase!$I13,"")</f>
        <v/>
      </c>
      <c r="CV4" s="5" t="str">
        <f>IF($BK4&lt;&gt;"",Gruppenphase!$K13,"")</f>
        <v/>
      </c>
      <c r="CW4" s="5" t="str">
        <f>IF($BK4&lt;&gt;"",Gruppenphase!$M13,"")</f>
        <v/>
      </c>
      <c r="CX4" s="5" t="str">
        <f>IF(BR4="","",SUM(CO4:CS4))</f>
        <v/>
      </c>
      <c r="CY4" s="5" t="str">
        <f>IF(BR4="","",BR4)</f>
        <v/>
      </c>
      <c r="CZ4" s="5">
        <v>1</v>
      </c>
      <c r="DA4" s="5" t="str">
        <f>IF(AF4="",AD4,"")</f>
        <v/>
      </c>
      <c r="DB4" s="5">
        <f>IF(DA4="",CZ4,"")</f>
        <v>1</v>
      </c>
      <c r="DC4" s="5" t="str">
        <f>VLOOKUP(DB4,$BO$4:$BP$7,2,FALSE)</f>
        <v>Bayern München</v>
      </c>
      <c r="DD4" s="5">
        <v>1</v>
      </c>
      <c r="DE4" s="5" t="str">
        <f>IF(DA4="",DC4,DA4)</f>
        <v>Bayern München</v>
      </c>
    </row>
    <row r="5" spans="1:109" x14ac:dyDescent="0.2">
      <c r="A5" s="5">
        <f t="shared" ref="A5:A35" si="8">Y5+Z5+AA5+AB5</f>
        <v>2</v>
      </c>
      <c r="B5" s="5" t="str">
        <f>'Club Namen'!B4</f>
        <v>Villarreal</v>
      </c>
      <c r="C5" s="5">
        <f>SUMPRODUCT((Gruppenphase!$I$13:$I$108&lt;&gt;"")*(Gruppenphase!$K$13:$K$108&lt;&gt;"")*(Gruppenphase!$G$13:$G$108='Dummy Table'!$B5)*(Gruppenphase!$I$13:$I$108&gt;Gruppenphase!$K$13:$K$108))</f>
        <v>0</v>
      </c>
      <c r="D5" s="5">
        <f>SUMPRODUCT((Gruppenphase!$I$13:$I$108&lt;&gt;"")*(Gruppenphase!$K$13:$K$108&lt;&gt;"")*(Gruppenphase!$G$13:$G$108='Dummy Table'!$B5)*(Gruppenphase!$I$13:$I$108=Gruppenphase!$K$13:$K$108))</f>
        <v>0</v>
      </c>
      <c r="E5" s="5">
        <f>SUMPRODUCT((Gruppenphase!$I$13:$I$108&lt;&gt;"")*(Gruppenphase!$K$13:$K$108&lt;&gt;"")*(Gruppenphase!$G$13:$G$108='Dummy Table'!$B5)*(Gruppenphase!$I$13:$I$108&lt;Gruppenphase!$K$13:$K$108))</f>
        <v>0</v>
      </c>
      <c r="F5" s="5">
        <f>SUMIF(Gruppenphase!$G$13:$G$108,'Dummy Table'!$B5,Gruppenphase!$I$13:$I$108)</f>
        <v>0</v>
      </c>
      <c r="G5" s="5">
        <f>SUMIF(Gruppenphase!$G$13:$G$108,'Dummy Table'!$B5,Gruppenphase!$K$13:$K$108)</f>
        <v>0</v>
      </c>
      <c r="H5" s="5">
        <f t="shared" ref="H5:H35" si="9">F5-G5</f>
        <v>0</v>
      </c>
      <c r="I5" s="5">
        <f t="shared" ref="I5:I35" si="10">C5*3+D5*1</f>
        <v>0</v>
      </c>
      <c r="J5" s="5">
        <f>SUMPRODUCT((Gruppenphase!$I$13:$I$108&lt;&gt;"")*(Gruppenphase!$K$13:$K$108&lt;&gt;"")*(Gruppenphase!$M$13:$M$108='Dummy Table'!$B5)*(Gruppenphase!$I$13:$I$108&lt;Gruppenphase!$K$13:$K$108))</f>
        <v>0</v>
      </c>
      <c r="K5" s="5">
        <f>SUMPRODUCT((Gruppenphase!$I$13:$I$108&lt;&gt;"")*(Gruppenphase!$K$13:$K$108&lt;&gt;"")*(Gruppenphase!$M$13:$M$108='Dummy Table'!$B5)*(Gruppenphase!$I$13:$I$108=Gruppenphase!$K$13:$K$108))</f>
        <v>0</v>
      </c>
      <c r="L5" s="5">
        <f>SUMPRODUCT((Gruppenphase!$I$13:$I$108&lt;&gt;"")*(Gruppenphase!$K$13:$K$108&lt;&gt;"")*(Gruppenphase!$M$13:$M$108='Dummy Table'!$B5)*(Gruppenphase!$I$13:$I$108&gt;Gruppenphase!$K$13:$K$108))</f>
        <v>0</v>
      </c>
      <c r="M5" s="5">
        <f>SUMIF(Gruppenphase!$M$13:$M$108,'Dummy Table'!$B5,Gruppenphase!$K$13:$K$108)</f>
        <v>0</v>
      </c>
      <c r="N5" s="5">
        <f>SUMIF(Gruppenphase!$M$13:$M$108,'Dummy Table'!$B5,Gruppenphase!$I$13:$I$108)</f>
        <v>0</v>
      </c>
      <c r="O5" s="5">
        <f t="shared" ref="O5:O35" si="11">M5-N5</f>
        <v>0</v>
      </c>
      <c r="P5" s="5">
        <f t="shared" ref="P5:P35" si="12">J5*3+K5*1</f>
        <v>0</v>
      </c>
      <c r="Q5" s="5">
        <f t="shared" ref="Q5:Q35" si="13">C5+J5</f>
        <v>0</v>
      </c>
      <c r="R5" s="5">
        <f t="shared" ref="R5:R35" si="14">D5+K5</f>
        <v>0</v>
      </c>
      <c r="S5" s="5">
        <f t="shared" ref="S5:S35" si="15">E5+L5</f>
        <v>0</v>
      </c>
      <c r="T5" s="5">
        <f t="shared" ref="T5:T35" si="16">F5+M5</f>
        <v>0</v>
      </c>
      <c r="U5" s="5">
        <f t="shared" ref="U5:U35" si="17">G5+N5</f>
        <v>0</v>
      </c>
      <c r="V5" s="5">
        <f t="shared" ref="V5:V35" si="18">H5+O5</f>
        <v>0</v>
      </c>
      <c r="W5" s="5">
        <f t="shared" ref="W5:W35" si="19">I5+P5</f>
        <v>0</v>
      </c>
      <c r="X5" s="5">
        <v>63</v>
      </c>
      <c r="Y5" s="5">
        <f>RANK(W5,W$4:W$7)</f>
        <v>1</v>
      </c>
      <c r="Z5" s="5">
        <f>SUMPRODUCT((W$4:W$7=W5)*(V$4:V$7&gt;V5))</f>
        <v>0</v>
      </c>
      <c r="AA5" s="5">
        <f>SUMPRODUCT((Y$4:Y$7=Y5)*(Z$4:Z$7=Z5)*(T$4:T$7&gt;T5))</f>
        <v>0</v>
      </c>
      <c r="AB5" s="5">
        <f>SUMPRODUCT((Y$4:Y$7=Y5)*(Z$4:Z$7=Z5)*(T$4:T$7=T5)*(X$4:X$7&gt;X5))</f>
        <v>1</v>
      </c>
      <c r="AC5" s="5">
        <v>2</v>
      </c>
      <c r="AD5" s="5" t="str">
        <f>VLOOKUP(AC5,$A$4:$B$7,2,FALSE)</f>
        <v>Villarreal</v>
      </c>
      <c r="AE5" s="5">
        <f>VLOOKUP($AD5,$B$4:$W$7,22,FALSE)</f>
        <v>0</v>
      </c>
      <c r="AF5" s="5" t="str">
        <f>IF(OR(AE5=AE4,AE5=AE6),AD5,"")</f>
        <v>Villarreal</v>
      </c>
      <c r="AG5" s="5">
        <f>SUMPRODUCT(($BK$4:$BK$99='Dummy Table'!$AF5)*($BL$4:$BL$99&gt;$BM$4:$BM$99))</f>
        <v>0</v>
      </c>
      <c r="AH5" s="5">
        <f>SUMPRODUCT(($BK$4:$BK$99='Dummy Table'!$AF5)*($BL$4:$BL$99=$BM$4:$BM$99))</f>
        <v>0</v>
      </c>
      <c r="AI5" s="5">
        <f>SUMPRODUCT(($BK$4:$BK$99='Dummy Table'!$AF5)*($BL$4:$BL$99&lt;$BM$4:$BM$99))</f>
        <v>0</v>
      </c>
      <c r="AJ5" s="5">
        <f>SUMIF($BK$4:$BK$99,'Dummy Table'!$AF5,$BL$4:$BL$99)</f>
        <v>0</v>
      </c>
      <c r="AK5" s="5">
        <f>SUMIF($BK$4:$BK$99,'Dummy Table'!$AF5,$BM$4:$BM$99)</f>
        <v>0</v>
      </c>
      <c r="AL5" s="5">
        <f t="shared" ref="AL5:AL35" si="20">AJ5-AK5</f>
        <v>0</v>
      </c>
      <c r="AM5" s="5">
        <f t="shared" ref="AM5:AM35" si="21">IF(AF5&lt;&gt;"",AG5*3+AH5*1,"")</f>
        <v>0</v>
      </c>
      <c r="AN5" s="5">
        <f>SUMPRODUCT(($BN$4:$BN$99='Dummy Table'!$AF5)*($BL$4:$BL$99&lt;$BM$4:$BM$99))</f>
        <v>0</v>
      </c>
      <c r="AO5" s="5">
        <f>SUMPRODUCT(($BN$4:$BN$99='Dummy Table'!$AF5)*($BL$4:$BL$99=$BM$4:$BM$99))</f>
        <v>0</v>
      </c>
      <c r="AP5" s="5">
        <f>SUMPRODUCT(($BN$4:$BN$99='Dummy Table'!$AF5)*($BL$4:$BL$99&gt;$BM$4:$BM$99))</f>
        <v>0</v>
      </c>
      <c r="AQ5" s="5">
        <f>SUMIF($BN$4:$BN$99,'Dummy Table'!$AF5,$BM$4:$BM$99)</f>
        <v>0</v>
      </c>
      <c r="AR5" s="5">
        <f>SUMIF($BN$4:$BN$99,'Dummy Table'!$AF5,$BL$4:$BL$99)</f>
        <v>0</v>
      </c>
      <c r="AS5" s="5">
        <f t="shared" ref="AS5:AS35" si="22">AQ5-AR5</f>
        <v>0</v>
      </c>
      <c r="AT5" s="5">
        <f t="shared" ref="AT5:AT35" si="23">IF(AF5&lt;&gt;"",AN5*3+AO5*1,"")</f>
        <v>0</v>
      </c>
      <c r="AU5" s="5">
        <f t="shared" ref="AU5:AU35" si="24">AG5+AN5</f>
        <v>0</v>
      </c>
      <c r="AV5" s="5">
        <f t="shared" ref="AV5:AV35" si="25">AH5+AO5</f>
        <v>0</v>
      </c>
      <c r="AW5" s="5">
        <f t="shared" ref="AW5:AW35" si="26">AI5+AP5</f>
        <v>0</v>
      </c>
      <c r="AX5" s="5">
        <f t="shared" ref="AX5:AX35" si="27">AJ5+AQ5</f>
        <v>0</v>
      </c>
      <c r="AY5" s="5">
        <f t="shared" ref="AY5:AY35" si="28">AK5+AR5</f>
        <v>0</v>
      </c>
      <c r="AZ5" s="5">
        <f t="shared" ref="AZ5:AZ35" si="29">AL5+AS5</f>
        <v>0</v>
      </c>
      <c r="BA5" s="5">
        <f>IF(AF5&lt;&gt;"",AM5+AT5,-1)</f>
        <v>0</v>
      </c>
      <c r="BB5" s="5">
        <f t="shared" ref="BB5:BB35" si="30">IF(AF5&lt;&gt;"",VLOOKUP(AF5,$B$4:$V$35,21,FALSE),"")</f>
        <v>0</v>
      </c>
      <c r="BC5" s="5">
        <f t="shared" ref="BC5:BC35" si="31">IF(AF5&lt;&gt;"",VLOOKUP(AF5,$B$4:$T$35,19,FALSE),"")</f>
        <v>0</v>
      </c>
      <c r="BD5" s="5">
        <f t="shared" ref="BD5:BD35" si="32">IF(AF5&lt;&gt;"",VLOOKUP(AF5,$B$4:$X$35,23,FALSE),"")</f>
        <v>63</v>
      </c>
      <c r="BE5" s="75">
        <f>RANK(BA5,BA$4:BA$7)</f>
        <v>1</v>
      </c>
      <c r="BF5" s="75">
        <f>SUMPRODUCT((BA$4:BA$7=BA5)*(AZ$4:AZ$7&gt;AZ5))</f>
        <v>0</v>
      </c>
      <c r="BG5" s="75">
        <f>SUMPRODUCT((BA$4:BA$7=BA5)*(BE$4:BE$7=BE5)*(AZ$4:AZ$7=AZ5)*(AQ$4:AQ$7&gt;AQ5))</f>
        <v>0</v>
      </c>
      <c r="BH5" s="75">
        <f>SUMPRODUCT((BA$4:BA$7=BA5)*(BE$4:BE$7=BE5)*(AZ$4:AZ$7=AZ5)*(AQ$4:AQ$7=AQ5)*(BB$4:BB$7&gt;BB5))</f>
        <v>0</v>
      </c>
      <c r="BI5" s="75">
        <f>SUMPRODUCT((BA$4:BA$7=BA5)*(BE$4:BE$7=BE5)*(AZ$4:AZ$7=AZ5)*(AQ$4:AQ$7=AQ5)*(BB$4:BB$7=BB5)*(BC$4:BC$7&gt;BC5))</f>
        <v>0</v>
      </c>
      <c r="BJ5" s="75">
        <f>SUMPRODUCT((BA$4:BA$7=BA5)*(BE$4:BE$7=BE5)*(AZ$4:AZ$7=AZ5)*(AQ$4:AQ$7=AQ5)*(BB$4:BB$7=BB5)*(BC$4:BC$7=BC5)*(BD$4:BD$7&gt;BD5))</f>
        <v>1</v>
      </c>
      <c r="BK5" s="5" t="str">
        <f>IF(AND(COUNTIF($AF$4:$AF$35,Gruppenphase!G14)&gt;0,COUNTIF($AF$4:$AF$35,Gruppenphase!M14)&gt;0,Gruppenphase!I14&lt;&gt;"",Gruppenphase!K14&lt;&gt;""),Gruppenphase!G14,"")</f>
        <v/>
      </c>
      <c r="BL5" s="5" t="str">
        <f>IF($BK5&lt;&gt;"",Gruppenphase!I14,"")</f>
        <v/>
      </c>
      <c r="BM5" s="5" t="str">
        <f>IF($BK5&lt;&gt;"",Gruppenphase!K14,"")</f>
        <v/>
      </c>
      <c r="BN5" s="5" t="str">
        <f>IF($BK5&lt;&gt;"",Gruppenphase!M14,"")</f>
        <v/>
      </c>
      <c r="BO5" s="5">
        <f t="shared" si="2"/>
        <v>2</v>
      </c>
      <c r="BP5" s="5" t="str">
        <f t="shared" ref="BP5:BP35" si="33">IF(AF5="","",AF5)</f>
        <v>Villarreal</v>
      </c>
      <c r="BQ5" s="5">
        <f>VLOOKUP($AD5,$B$4:$W$7,22,FALSE)</f>
        <v>0</v>
      </c>
      <c r="BS5" s="5">
        <f>SUMPRODUCT(($BK$4:$BK$99='Dummy Table'!$AF5)*($BL$4:$BL$99&gt;$BM$4:$BM$99))</f>
        <v>0</v>
      </c>
      <c r="BT5" s="5">
        <f>SUMPRODUCT(($BK$4:$BK$99='Dummy Table'!$AF5)*($BL$4:$BL$99=$BM$4:$BM$99))</f>
        <v>0</v>
      </c>
      <c r="BU5" s="5">
        <f>SUMPRODUCT(($BK$4:$BK$99='Dummy Table'!$AF5)*($BL$4:$BL$99&lt;$BM$4:$BM$99))</f>
        <v>0</v>
      </c>
      <c r="BV5" s="5">
        <f>SUMIF($BK$4:$BK$99,'Dummy Table'!$AF5,$BL$4:$BL$99)</f>
        <v>0</v>
      </c>
      <c r="BW5" s="5">
        <f>SUMIF($BK$4:$BK$99,'Dummy Table'!$AF5,$BM$4:$BM$99)</f>
        <v>0</v>
      </c>
      <c r="BX5" s="5">
        <f t="shared" ref="BX5:BX35" si="34">BV5-BW5</f>
        <v>0</v>
      </c>
      <c r="BY5" s="5" t="str">
        <f t="shared" ref="BY5:BY35" si="35">IF(BR5&lt;&gt;"",BS5*3+BT5*1,"")</f>
        <v/>
      </c>
      <c r="BZ5" s="5">
        <f>SUMPRODUCT(($BN$4:$BN$99='Dummy Table'!$AF5)*($BL$4:$BL$99&lt;$BM$4:$BM$99))</f>
        <v>0</v>
      </c>
      <c r="CA5" s="5">
        <f>SUMPRODUCT(($BN$4:$BN$99='Dummy Table'!$AF5)*($BL$4:$BL$99=$BM$4:$BM$99))</f>
        <v>0</v>
      </c>
      <c r="CB5" s="5">
        <f>SUMPRODUCT(($BN$4:$BN$99='Dummy Table'!$AF5)*($BL$4:$BL$99&gt;$BM$4:$BM$99))</f>
        <v>0</v>
      </c>
      <c r="CC5" s="5">
        <f>SUMIF($BN$4:$BN$99,'Dummy Table'!$AF5,$BM$4:$BM$99)</f>
        <v>0</v>
      </c>
      <c r="CD5" s="5">
        <f>SUMIF($BN$4:$BN$99,'Dummy Table'!$AF5,$BL$4:$BL$99)</f>
        <v>0</v>
      </c>
      <c r="CE5" s="5">
        <f t="shared" ref="CE5:CE35" si="36">CC5-CD5</f>
        <v>0</v>
      </c>
      <c r="CF5" s="5" t="str">
        <f t="shared" ref="CF5:CF35" si="37">IF(BR5&lt;&gt;"",BZ5*3+CA5*1,"")</f>
        <v/>
      </c>
      <c r="CG5" s="5">
        <f t="shared" ref="CG5:CG35" si="38">BS5+BZ5</f>
        <v>0</v>
      </c>
      <c r="CH5" s="5">
        <f t="shared" si="3"/>
        <v>0</v>
      </c>
      <c r="CI5" s="5">
        <f t="shared" si="4"/>
        <v>0</v>
      </c>
      <c r="CJ5" s="5">
        <f t="shared" si="5"/>
        <v>0</v>
      </c>
      <c r="CK5" s="5">
        <f t="shared" si="6"/>
        <v>0</v>
      </c>
      <c r="CL5" s="5">
        <f t="shared" si="7"/>
        <v>0</v>
      </c>
      <c r="CM5" s="5">
        <f>IF(BR5&lt;&gt;"",BY5+CF5,-1)</f>
        <v>-1</v>
      </c>
      <c r="CN5" s="5">
        <v>2</v>
      </c>
      <c r="CO5" s="5">
        <f>RANK(CM5,CM$4:CM$7)</f>
        <v>1</v>
      </c>
      <c r="CP5" s="5">
        <f>SUMPRODUCT((CM$4:CM$7=CM5)*(CO$4:CO$7=CO5)*(CC$4:CC$7&gt;CC5))</f>
        <v>0</v>
      </c>
      <c r="CQ5" s="5">
        <f>SUMPRODUCT((CM$4:CM$7=CM5)*(CL$4:CL$7&gt;CL5))</f>
        <v>0</v>
      </c>
      <c r="CR5" s="5">
        <f>SUMPRODUCT((CO$4:CO$7=CO5)*(CQ$4:CQ$7=CQ5)*(CJ$4:CJ$7&gt;CJ5))</f>
        <v>0</v>
      </c>
      <c r="CS5" s="5">
        <f>SUMPRODUCT((CO$4:CO$7=CO5)*(CQ$4:CQ$7=CQ5)*(CJ$4:CJ$7=CJ5)*(CN$4:CN$7&gt;CN5))</f>
        <v>2</v>
      </c>
      <c r="CT5" s="5" t="str">
        <f>IF(AND(COUNTIF($AF$4:$AF$35,Gruppenphase!$G14)&gt;0,COUNTIF($AF$4:$AF$35,Gruppenphase!$M14)&gt;0),Gruppenphase!$G14,"")</f>
        <v>Chelsea</v>
      </c>
      <c r="CU5" s="5" t="str">
        <f>IF($BK5&lt;&gt;"",Gruppenphase!$I14,"")</f>
        <v/>
      </c>
      <c r="CV5" s="5" t="str">
        <f>IF($BK5&lt;&gt;"",Gruppenphase!$K14,"")</f>
        <v/>
      </c>
      <c r="CW5" s="5" t="str">
        <f>IF($BK5&lt;&gt;"",Gruppenphase!$M14,"")</f>
        <v/>
      </c>
      <c r="CX5" s="5" t="str">
        <f t="shared" ref="CX5:CX35" si="39">IF(BR5="","",SUM(CO5:CS5))</f>
        <v/>
      </c>
      <c r="CY5" s="5" t="str">
        <f t="shared" ref="CY5:CY35" si="40">IF(BR5="","",BR5)</f>
        <v/>
      </c>
      <c r="CZ5" s="5">
        <v>2</v>
      </c>
      <c r="DA5" s="5" t="str">
        <f>IF(AF5="",AD5,"")</f>
        <v/>
      </c>
      <c r="DB5" s="5">
        <f>IF(AND(DA5="",DA4=""),CZ5,IF(AND(DA4&lt;&gt;"",DA5=""),1,""))</f>
        <v>2</v>
      </c>
      <c r="DC5" s="5" t="str">
        <f>VLOOKUP(DB5,$BO$4:$BP$7,2,FALSE)</f>
        <v>Villarreal</v>
      </c>
      <c r="DD5" s="5">
        <v>2</v>
      </c>
      <c r="DE5" s="5" t="str">
        <f>IF(DA5="",DC5,DA5)</f>
        <v>Villarreal</v>
      </c>
    </row>
    <row r="6" spans="1:109" x14ac:dyDescent="0.2">
      <c r="A6" s="5">
        <f t="shared" si="8"/>
        <v>3</v>
      </c>
      <c r="B6" s="5" t="str">
        <f>'Club Namen'!B5</f>
        <v>Manchester City</v>
      </c>
      <c r="C6" s="5">
        <f>SUMPRODUCT((Gruppenphase!$I$13:$I$108&lt;&gt;"")*(Gruppenphase!$K$13:$K$108&lt;&gt;"")*(Gruppenphase!$G$13:$G$108='Dummy Table'!$B6)*(Gruppenphase!$I$13:$I$108&gt;Gruppenphase!$K$13:$K$108))</f>
        <v>0</v>
      </c>
      <c r="D6" s="5">
        <f>SUMPRODUCT((Gruppenphase!$I$13:$I$108&lt;&gt;"")*(Gruppenphase!$K$13:$K$108&lt;&gt;"")*(Gruppenphase!$G$13:$G$108='Dummy Table'!$B6)*(Gruppenphase!$I$13:$I$108=Gruppenphase!$K$13:$K$108))</f>
        <v>0</v>
      </c>
      <c r="E6" s="5">
        <f>SUMPRODUCT((Gruppenphase!$I$13:$I$108&lt;&gt;"")*(Gruppenphase!$K$13:$K$108&lt;&gt;"")*(Gruppenphase!$G$13:$G$108='Dummy Table'!$B6)*(Gruppenphase!$I$13:$I$108&lt;Gruppenphase!$K$13:$K$108))</f>
        <v>0</v>
      </c>
      <c r="F6" s="5">
        <f>SUMIF(Gruppenphase!$G$13:$G$108,'Dummy Table'!$B6,Gruppenphase!$I$13:$I$108)</f>
        <v>0</v>
      </c>
      <c r="G6" s="5">
        <f>SUMIF(Gruppenphase!$G$13:$G$108,'Dummy Table'!$B6,Gruppenphase!$K$13:$K$108)</f>
        <v>0</v>
      </c>
      <c r="H6" s="5">
        <f t="shared" si="9"/>
        <v>0</v>
      </c>
      <c r="I6" s="5">
        <f t="shared" si="10"/>
        <v>0</v>
      </c>
      <c r="J6" s="5">
        <f>SUMPRODUCT((Gruppenphase!$I$13:$I$108&lt;&gt;"")*(Gruppenphase!$K$13:$K$108&lt;&gt;"")*(Gruppenphase!$M$13:$M$108='Dummy Table'!$B6)*(Gruppenphase!$I$13:$I$108&lt;Gruppenphase!$K$13:$K$108))</f>
        <v>0</v>
      </c>
      <c r="K6" s="5">
        <f>SUMPRODUCT((Gruppenphase!$I$13:$I$108&lt;&gt;"")*(Gruppenphase!$K$13:$K$108&lt;&gt;"")*(Gruppenphase!$M$13:$M$108='Dummy Table'!$B6)*(Gruppenphase!$I$13:$I$108=Gruppenphase!$K$13:$K$108))</f>
        <v>0</v>
      </c>
      <c r="L6" s="5">
        <f>SUMPRODUCT((Gruppenphase!$I$13:$I$108&lt;&gt;"")*(Gruppenphase!$K$13:$K$108&lt;&gt;"")*(Gruppenphase!$M$13:$M$108='Dummy Table'!$B6)*(Gruppenphase!$I$13:$I$108&gt;Gruppenphase!$K$13:$K$108))</f>
        <v>0</v>
      </c>
      <c r="M6" s="5">
        <f>SUMIF(Gruppenphase!$M$13:$M$108,'Dummy Table'!$B6,Gruppenphase!$K$13:$K$108)</f>
        <v>0</v>
      </c>
      <c r="N6" s="5">
        <f>SUMIF(Gruppenphase!$M$13:$M$108,'Dummy Table'!$B6,Gruppenphase!$I$13:$I$108)</f>
        <v>0</v>
      </c>
      <c r="O6" s="5">
        <f t="shared" si="11"/>
        <v>0</v>
      </c>
      <c r="P6" s="5">
        <f t="shared" si="12"/>
        <v>0</v>
      </c>
      <c r="Q6" s="5">
        <f t="shared" si="13"/>
        <v>0</v>
      </c>
      <c r="R6" s="5">
        <f t="shared" si="14"/>
        <v>0</v>
      </c>
      <c r="S6" s="5">
        <f t="shared" si="15"/>
        <v>0</v>
      </c>
      <c r="T6" s="5">
        <f t="shared" si="16"/>
        <v>0</v>
      </c>
      <c r="U6" s="5">
        <f t="shared" si="17"/>
        <v>0</v>
      </c>
      <c r="V6" s="5">
        <f t="shared" si="18"/>
        <v>0</v>
      </c>
      <c r="W6" s="5">
        <f t="shared" si="19"/>
        <v>0</v>
      </c>
      <c r="X6" s="5">
        <v>40</v>
      </c>
      <c r="Y6" s="5">
        <f>RANK(W6,W$4:W$7)</f>
        <v>1</v>
      </c>
      <c r="Z6" s="5">
        <f>SUMPRODUCT((W$4:W$7=W6)*(V$4:V$7&gt;V6))</f>
        <v>0</v>
      </c>
      <c r="AA6" s="5">
        <f>SUMPRODUCT((Y$4:Y$7=Y6)*(Z$4:Z$7=Z6)*(T$4:T$7&gt;T6))</f>
        <v>0</v>
      </c>
      <c r="AB6" s="5">
        <f>SUMPRODUCT((Y$4:Y$7=Y6)*(Z$4:Z$7=Z6)*(T$4:T$7=T6)*(X$4:X$7&gt;X6))</f>
        <v>2</v>
      </c>
      <c r="AC6" s="5">
        <v>3</v>
      </c>
      <c r="AD6" s="5" t="str">
        <f>VLOOKUP(AC6,$A$4:$B$7,2,FALSE)</f>
        <v>Manchester City</v>
      </c>
      <c r="AE6" s="5">
        <f>VLOOKUP($AD6,$B$4:$W$7,22,FALSE)</f>
        <v>0</v>
      </c>
      <c r="AF6" s="5" t="str">
        <f>IF(AE6=AE5,AD6,"")</f>
        <v>Manchester City</v>
      </c>
      <c r="AG6" s="5">
        <f>SUMPRODUCT(($BK$4:$BK$99='Dummy Table'!$AF6)*($BL$4:$BL$99&gt;$BM$4:$BM$99))</f>
        <v>0</v>
      </c>
      <c r="AH6" s="5">
        <f>SUMPRODUCT(($BK$4:$BK$99='Dummy Table'!$AF6)*($BL$4:$BL$99=$BM$4:$BM$99))</f>
        <v>0</v>
      </c>
      <c r="AI6" s="5">
        <f>SUMPRODUCT(($BK$4:$BK$99='Dummy Table'!$AF6)*($BL$4:$BL$99&lt;$BM$4:$BM$99))</f>
        <v>0</v>
      </c>
      <c r="AJ6" s="5">
        <f>SUMIF($BK$4:$BK$99,'Dummy Table'!$AF6,$BL$4:$BL$99)</f>
        <v>0</v>
      </c>
      <c r="AK6" s="5">
        <f>SUMIF($BK$4:$BK$99,'Dummy Table'!$AF6,$BM$4:$BM$99)</f>
        <v>0</v>
      </c>
      <c r="AL6" s="5">
        <f t="shared" si="20"/>
        <v>0</v>
      </c>
      <c r="AM6" s="5">
        <f t="shared" si="21"/>
        <v>0</v>
      </c>
      <c r="AN6" s="5">
        <f>SUMPRODUCT(($BN$4:$BN$99='Dummy Table'!$AF6)*($BL$4:$BL$99&lt;$BM$4:$BM$99))</f>
        <v>0</v>
      </c>
      <c r="AO6" s="5">
        <f>SUMPRODUCT(($BN$4:$BN$99='Dummy Table'!$AF6)*($BL$4:$BL$99=$BM$4:$BM$99))</f>
        <v>0</v>
      </c>
      <c r="AP6" s="5">
        <f>SUMPRODUCT(($BN$4:$BN$99='Dummy Table'!$AF6)*($BL$4:$BL$99&gt;$BM$4:$BM$99))</f>
        <v>0</v>
      </c>
      <c r="AQ6" s="5">
        <f>SUMIF($BN$4:$BN$99,'Dummy Table'!$AF6,$BM$4:$BM$99)</f>
        <v>0</v>
      </c>
      <c r="AR6" s="5">
        <f>SUMIF($BN$4:$BN$99,'Dummy Table'!$AF6,$BL$4:$BL$99)</f>
        <v>0</v>
      </c>
      <c r="AS6" s="5">
        <f t="shared" si="22"/>
        <v>0</v>
      </c>
      <c r="AT6" s="5">
        <f t="shared" si="23"/>
        <v>0</v>
      </c>
      <c r="AU6" s="5">
        <f t="shared" si="24"/>
        <v>0</v>
      </c>
      <c r="AV6" s="5">
        <f t="shared" si="25"/>
        <v>0</v>
      </c>
      <c r="AW6" s="5">
        <f t="shared" si="26"/>
        <v>0</v>
      </c>
      <c r="AX6" s="5">
        <f t="shared" si="27"/>
        <v>0</v>
      </c>
      <c r="AY6" s="5">
        <f t="shared" si="28"/>
        <v>0</v>
      </c>
      <c r="AZ6" s="5">
        <f t="shared" si="29"/>
        <v>0</v>
      </c>
      <c r="BA6" s="5">
        <f t="shared" ref="BA6:BA35" si="41">IF(AF6&lt;&gt;"",AM6+AT6,-1)</f>
        <v>0</v>
      </c>
      <c r="BB6" s="5">
        <f t="shared" si="30"/>
        <v>0</v>
      </c>
      <c r="BC6" s="5">
        <f t="shared" si="31"/>
        <v>0</v>
      </c>
      <c r="BD6" s="5">
        <f t="shared" si="32"/>
        <v>40</v>
      </c>
      <c r="BE6" s="75">
        <f>RANK(BA6,BA$4:BA$7)</f>
        <v>1</v>
      </c>
      <c r="BF6" s="75">
        <f>SUMPRODUCT((BA$4:BA$7=BA6)*(AZ$4:AZ$7&gt;AZ6))</f>
        <v>0</v>
      </c>
      <c r="BG6" s="75">
        <f>SUMPRODUCT((BA$4:BA$7=BA6)*(BE$4:BE$7=BE6)*(AZ$4:AZ$7=AZ6)*(AQ$4:AQ$7&gt;AQ6))</f>
        <v>0</v>
      </c>
      <c r="BH6" s="75">
        <f>SUMPRODUCT((BA$4:BA$7=BA6)*(BE$4:BE$7=BE6)*(AZ$4:AZ$7=AZ6)*(AQ$4:AQ$7=AQ6)*(BB$4:BB$7&gt;BB6))</f>
        <v>0</v>
      </c>
      <c r="BI6" s="75">
        <f>SUMPRODUCT((BA$4:BA$7=BA6)*(BE$4:BE$7=BE6)*(AZ$4:AZ$7=AZ6)*(AQ$4:AQ$7=AQ6)*(BB$4:BB$7=BB6)*(BC$4:BC$7&gt;BC6))</f>
        <v>0</v>
      </c>
      <c r="BJ6" s="75">
        <f>SUMPRODUCT((BA$4:BA$7=BA6)*(BE$4:BE$7=BE6)*(AZ$4:AZ$7=AZ6)*(AQ$4:AQ$7=AQ6)*(BB$4:BB$7=BB6)*(BC$4:BC$7=BC6)*(BD$4:BD$7&gt;BD6))</f>
        <v>2</v>
      </c>
      <c r="BK6" s="5" t="str">
        <f>IF(AND(COUNTIF($AF$4:$AF$35,Gruppenphase!G15)&gt;0,COUNTIF($AF$4:$AF$35,Gruppenphase!M15)&gt;0,Gruppenphase!I15&lt;&gt;"",Gruppenphase!K15&lt;&gt;""),Gruppenphase!G15,"")</f>
        <v/>
      </c>
      <c r="BL6" s="5" t="str">
        <f>IF($BK6&lt;&gt;"",Gruppenphase!I15,"")</f>
        <v/>
      </c>
      <c r="BM6" s="5" t="str">
        <f>IF($BK6&lt;&gt;"",Gruppenphase!K15,"")</f>
        <v/>
      </c>
      <c r="BN6" s="5" t="str">
        <f>IF($BK6&lt;&gt;"",Gruppenphase!M15,"")</f>
        <v/>
      </c>
      <c r="BO6" s="5">
        <f t="shared" si="2"/>
        <v>3</v>
      </c>
      <c r="BP6" s="5" t="str">
        <f t="shared" si="33"/>
        <v>Manchester City</v>
      </c>
      <c r="BQ6" s="5">
        <f>VLOOKUP($AD6,$B$4:$W$7,22,FALSE)</f>
        <v>0</v>
      </c>
      <c r="BR6" s="5" t="str">
        <f>IF(AND(BQ6&lt;&gt;BQ5,BQ6=BQ7),AD6,"")</f>
        <v/>
      </c>
      <c r="BS6" s="5">
        <f>SUMPRODUCT(($BK$4:$BK$99='Dummy Table'!$AF6)*($BL$4:$BL$99&gt;$BM$4:$BM$99))</f>
        <v>0</v>
      </c>
      <c r="BT6" s="5">
        <f>SUMPRODUCT(($BK$4:$BK$99='Dummy Table'!$AF6)*($BL$4:$BL$99=$BM$4:$BM$99))</f>
        <v>0</v>
      </c>
      <c r="BU6" s="5">
        <f>SUMPRODUCT(($BK$4:$BK$99='Dummy Table'!$AF6)*($BL$4:$BL$99&lt;$BM$4:$BM$99))</f>
        <v>0</v>
      </c>
      <c r="BV6" s="5">
        <f>SUMIF($BK$4:$BK$99,'Dummy Table'!$AF6,$BL$4:$BL$99)</f>
        <v>0</v>
      </c>
      <c r="BW6" s="5">
        <f>SUMIF($BK$4:$BK$99,'Dummy Table'!$AF6,$BM$4:$BM$99)</f>
        <v>0</v>
      </c>
      <c r="BX6" s="5">
        <f t="shared" si="34"/>
        <v>0</v>
      </c>
      <c r="BY6" s="5" t="str">
        <f t="shared" si="35"/>
        <v/>
      </c>
      <c r="BZ6" s="5">
        <f>SUMPRODUCT(($BN$4:$BN$99='Dummy Table'!$AF6)*($BL$4:$BL$99&lt;$BM$4:$BM$99))</f>
        <v>0</v>
      </c>
      <c r="CA6" s="5">
        <f>SUMPRODUCT(($BN$4:$BN$99='Dummy Table'!$AF6)*($BL$4:$BL$99=$BM$4:$BM$99))</f>
        <v>0</v>
      </c>
      <c r="CB6" s="5">
        <f>SUMPRODUCT(($BN$4:$BN$99='Dummy Table'!$AF6)*($BL$4:$BL$99&gt;$BM$4:$BM$99))</f>
        <v>0</v>
      </c>
      <c r="CC6" s="5">
        <f>SUMIF($BN$4:$BN$99,'Dummy Table'!$AF6,$BM$4:$BM$99)</f>
        <v>0</v>
      </c>
      <c r="CD6" s="5">
        <f>SUMIF($BN$4:$BN$99,'Dummy Table'!$AF6,$BL$4:$BL$99)</f>
        <v>0</v>
      </c>
      <c r="CE6" s="5">
        <f t="shared" si="36"/>
        <v>0</v>
      </c>
      <c r="CF6" s="5" t="str">
        <f t="shared" si="37"/>
        <v/>
      </c>
      <c r="CG6" s="5">
        <f t="shared" si="38"/>
        <v>0</v>
      </c>
      <c r="CH6" s="5">
        <f t="shared" si="3"/>
        <v>0</v>
      </c>
      <c r="CI6" s="5">
        <f t="shared" si="4"/>
        <v>0</v>
      </c>
      <c r="CJ6" s="5">
        <f t="shared" si="5"/>
        <v>0</v>
      </c>
      <c r="CK6" s="5">
        <f t="shared" si="6"/>
        <v>0</v>
      </c>
      <c r="CL6" s="5">
        <f t="shared" si="7"/>
        <v>0</v>
      </c>
      <c r="CM6" s="5">
        <f t="shared" ref="CM6:CM35" si="42">IF(BR6&lt;&gt;"",BY6+CF6,-1)</f>
        <v>-1</v>
      </c>
      <c r="CN6" s="5">
        <v>3</v>
      </c>
      <c r="CO6" s="5">
        <f>RANK(CM6,CM$4:CM$7)</f>
        <v>1</v>
      </c>
      <c r="CP6" s="5">
        <f>SUMPRODUCT((CM$4:CM$7=CM6)*(CO$4:CO$7=CO6)*(CC$4:CC$7&gt;CC6))</f>
        <v>0</v>
      </c>
      <c r="CQ6" s="5">
        <f>SUMPRODUCT((CM$4:CM$7=CM6)*(CL$4:CL$7&gt;CL6))</f>
        <v>0</v>
      </c>
      <c r="CR6" s="5">
        <f>SUMPRODUCT((CO$4:CO$7=CO6)*(CQ$4:CQ$7=CQ6)*(CJ$4:CJ$7&gt;CJ6))</f>
        <v>0</v>
      </c>
      <c r="CS6" s="5">
        <f>SUMPRODUCT((CO$4:CO$7=CO6)*(CQ$4:CQ$7=CQ6)*(CJ$4:CJ$7=CJ6)*(CN$4:CN$7&gt;CN6))</f>
        <v>1</v>
      </c>
      <c r="CT6" s="5" t="str">
        <f>IF(AND(COUNTIF($AF$4:$AF$35,Gruppenphase!$G15)&gt;0,COUNTIF($AF$4:$AF$35,Gruppenphase!$M15)&gt;0),Gruppenphase!$G15,"")</f>
        <v>Olympiacos</v>
      </c>
      <c r="CU6" s="5" t="str">
        <f>IF($BK6&lt;&gt;"",Gruppenphase!$I15,"")</f>
        <v/>
      </c>
      <c r="CV6" s="5" t="str">
        <f>IF($BK6&lt;&gt;"",Gruppenphase!$K15,"")</f>
        <v/>
      </c>
      <c r="CW6" s="5" t="str">
        <f>IF($BK6&lt;&gt;"",Gruppenphase!$M15,"")</f>
        <v/>
      </c>
      <c r="CX6" s="5" t="str">
        <f t="shared" si="39"/>
        <v/>
      </c>
      <c r="CY6" s="5" t="str">
        <f t="shared" si="40"/>
        <v/>
      </c>
      <c r="CZ6" s="5">
        <v>3</v>
      </c>
      <c r="DA6" s="5" t="str">
        <f>IF(AF6="",AD6,"")</f>
        <v/>
      </c>
      <c r="DB6" s="5">
        <f>IF(AND(DA6="",DA5="",DA4=""),CZ6,IF(AND(DA4&lt;&gt;"",DA5="",DA6=""),2,IF(AND(DA4&lt;&gt;"",DA5&lt;&gt;"",DA6=""),1,"")))</f>
        <v>3</v>
      </c>
      <c r="DC6" s="5" t="str">
        <f>VLOOKUP(DB6,$BO$4:$BP$7,2,FALSE)</f>
        <v>Manchester City</v>
      </c>
      <c r="DD6" s="5">
        <v>3</v>
      </c>
      <c r="DE6" s="5" t="str">
        <f>IF(CY6&lt;&gt;"",IF(CX6&lt;CX7,CY6,CY7),IF(DC6&lt;&gt;"",DC6,DA6))</f>
        <v>Manchester City</v>
      </c>
    </row>
    <row r="7" spans="1:109" x14ac:dyDescent="0.2">
      <c r="A7" s="5">
        <f t="shared" si="8"/>
        <v>4</v>
      </c>
      <c r="B7" s="5" t="str">
        <f>'Club Namen'!B6</f>
        <v>Napoli</v>
      </c>
      <c r="C7" s="5">
        <f>SUMPRODUCT((Gruppenphase!$I$13:$I$108&lt;&gt;"")*(Gruppenphase!$K$13:$K$108&lt;&gt;"")*(Gruppenphase!$G$13:$G$108='Dummy Table'!$B7)*(Gruppenphase!$I$13:$I$108&gt;Gruppenphase!$K$13:$K$108))</f>
        <v>0</v>
      </c>
      <c r="D7" s="5">
        <f>SUMPRODUCT((Gruppenphase!$I$13:$I$108&lt;&gt;"")*(Gruppenphase!$K$13:$K$108&lt;&gt;"")*(Gruppenphase!$G$13:$G$108='Dummy Table'!$B7)*(Gruppenphase!$I$13:$I$108=Gruppenphase!$K$13:$K$108))</f>
        <v>0</v>
      </c>
      <c r="E7" s="5">
        <f>SUMPRODUCT((Gruppenphase!$I$13:$I$108&lt;&gt;"")*(Gruppenphase!$K$13:$K$108&lt;&gt;"")*(Gruppenphase!$G$13:$G$108='Dummy Table'!$B7)*(Gruppenphase!$I$13:$I$108&lt;Gruppenphase!$K$13:$K$108))</f>
        <v>0</v>
      </c>
      <c r="F7" s="5">
        <f>SUMIF(Gruppenphase!$G$13:$G$108,'Dummy Table'!$B7,Gruppenphase!$I$13:$I$108)</f>
        <v>0</v>
      </c>
      <c r="G7" s="5">
        <f>SUMIF(Gruppenphase!$G$13:$G$108,'Dummy Table'!$B7,Gruppenphase!$K$13:$K$108)</f>
        <v>0</v>
      </c>
      <c r="H7" s="5">
        <f t="shared" si="9"/>
        <v>0</v>
      </c>
      <c r="I7" s="5">
        <f t="shared" si="10"/>
        <v>0</v>
      </c>
      <c r="J7" s="5">
        <f>SUMPRODUCT((Gruppenphase!$I$13:$I$108&lt;&gt;"")*(Gruppenphase!$K$13:$K$108&lt;&gt;"")*(Gruppenphase!$M$13:$M$108='Dummy Table'!$B7)*(Gruppenphase!$I$13:$I$108&lt;Gruppenphase!$K$13:$K$108))</f>
        <v>0</v>
      </c>
      <c r="K7" s="5">
        <f>SUMPRODUCT((Gruppenphase!$I$13:$I$108&lt;&gt;"")*(Gruppenphase!$K$13:$K$108&lt;&gt;"")*(Gruppenphase!$M$13:$M$108='Dummy Table'!$B7)*(Gruppenphase!$I$13:$I$108=Gruppenphase!$K$13:$K$108))</f>
        <v>0</v>
      </c>
      <c r="L7" s="5">
        <f>SUMPRODUCT((Gruppenphase!$I$13:$I$108&lt;&gt;"")*(Gruppenphase!$K$13:$K$108&lt;&gt;"")*(Gruppenphase!$M$13:$M$108='Dummy Table'!$B7)*(Gruppenphase!$I$13:$I$108&gt;Gruppenphase!$K$13:$K$108))</f>
        <v>0</v>
      </c>
      <c r="M7" s="5">
        <f>SUMIF(Gruppenphase!$M$13:$M$108,'Dummy Table'!$B7,Gruppenphase!$K$13:$K$108)</f>
        <v>0</v>
      </c>
      <c r="N7" s="5">
        <f>SUMIF(Gruppenphase!$M$13:$M$108,'Dummy Table'!$B7,Gruppenphase!$I$13:$I$108)</f>
        <v>0</v>
      </c>
      <c r="O7" s="5">
        <f t="shared" si="11"/>
        <v>0</v>
      </c>
      <c r="P7" s="5">
        <f t="shared" si="12"/>
        <v>0</v>
      </c>
      <c r="Q7" s="5">
        <f t="shared" si="13"/>
        <v>0</v>
      </c>
      <c r="R7" s="5">
        <f t="shared" si="14"/>
        <v>0</v>
      </c>
      <c r="S7" s="5">
        <f t="shared" si="15"/>
        <v>0</v>
      </c>
      <c r="T7" s="5">
        <f t="shared" si="16"/>
        <v>0</v>
      </c>
      <c r="U7" s="5">
        <f t="shared" si="17"/>
        <v>0</v>
      </c>
      <c r="V7" s="5">
        <f t="shared" si="18"/>
        <v>0</v>
      </c>
      <c r="W7" s="5">
        <f t="shared" si="19"/>
        <v>0</v>
      </c>
      <c r="X7" s="5">
        <v>17</v>
      </c>
      <c r="Y7" s="5">
        <f>RANK(W7,W$4:W$7)</f>
        <v>1</v>
      </c>
      <c r="Z7" s="5">
        <f>SUMPRODUCT((W$4:W$7=W7)*(V$4:V$7&gt;V7))</f>
        <v>0</v>
      </c>
      <c r="AA7" s="5">
        <f>SUMPRODUCT((Y$4:Y$7=Y7)*(Z$4:Z$7=Z7)*(T$4:T$7&gt;T7))</f>
        <v>0</v>
      </c>
      <c r="AB7" s="5">
        <f>SUMPRODUCT((Y$4:Y$7=Y7)*(Z$4:Z$7=Z7)*(T$4:T$7=T7)*(X$4:X$7&gt;X7))</f>
        <v>3</v>
      </c>
      <c r="AC7" s="5">
        <v>4</v>
      </c>
      <c r="AD7" s="5" t="str">
        <f>VLOOKUP(AC7,$A$4:$B$7,2,FALSE)</f>
        <v>Napoli</v>
      </c>
      <c r="AE7" s="5">
        <f>VLOOKUP($AD7,$B$4:$W$7,22,FALSE)</f>
        <v>0</v>
      </c>
      <c r="AF7" s="5" t="str">
        <f>IF(AND(AE7=AE6,AE6=AE5),AD7,"")</f>
        <v>Napoli</v>
      </c>
      <c r="AG7" s="5">
        <f>SUMPRODUCT(($BK$4:$BK$99='Dummy Table'!$AF7)*($BL$4:$BL$99&gt;$BM$4:$BM$99))</f>
        <v>0</v>
      </c>
      <c r="AH7" s="5">
        <f>SUMPRODUCT(($BK$4:$BK$99='Dummy Table'!$AF7)*($BL$4:$BL$99=$BM$4:$BM$99))</f>
        <v>0</v>
      </c>
      <c r="AI7" s="5">
        <f>SUMPRODUCT(($BK$4:$BK$99='Dummy Table'!$AF7)*($BL$4:$BL$99&lt;$BM$4:$BM$99))</f>
        <v>0</v>
      </c>
      <c r="AJ7" s="5">
        <f>SUMIF($BK$4:$BK$99,'Dummy Table'!$AF7,$BL$4:$BL$99)</f>
        <v>0</v>
      </c>
      <c r="AK7" s="5">
        <f>SUMIF($BK$4:$BK$99,'Dummy Table'!$AF7,$BM$4:$BM$99)</f>
        <v>0</v>
      </c>
      <c r="AL7" s="5">
        <f t="shared" si="20"/>
        <v>0</v>
      </c>
      <c r="AM7" s="5">
        <f t="shared" si="21"/>
        <v>0</v>
      </c>
      <c r="AN7" s="5">
        <f>SUMPRODUCT(($BN$4:$BN$99='Dummy Table'!$AF7)*($BL$4:$BL$99&lt;$BM$4:$BM$99))</f>
        <v>0</v>
      </c>
      <c r="AO7" s="5">
        <f>SUMPRODUCT(($BN$4:$BN$99='Dummy Table'!$AF7)*($BL$4:$BL$99=$BM$4:$BM$99))</f>
        <v>0</v>
      </c>
      <c r="AP7" s="5">
        <f>SUMPRODUCT(($BN$4:$BN$99='Dummy Table'!$AF7)*($BL$4:$BL$99&gt;$BM$4:$BM$99))</f>
        <v>0</v>
      </c>
      <c r="AQ7" s="5">
        <f>SUMIF($BN$4:$BN$99,'Dummy Table'!$AF7,$BM$4:$BM$99)</f>
        <v>0</v>
      </c>
      <c r="AR7" s="5">
        <f>SUMIF($BN$4:$BN$99,'Dummy Table'!$AF7,$BL$4:$BL$99)</f>
        <v>0</v>
      </c>
      <c r="AS7" s="5">
        <f t="shared" si="22"/>
        <v>0</v>
      </c>
      <c r="AT7" s="5">
        <f t="shared" si="23"/>
        <v>0</v>
      </c>
      <c r="AU7" s="5">
        <f t="shared" si="24"/>
        <v>0</v>
      </c>
      <c r="AV7" s="5">
        <f t="shared" si="25"/>
        <v>0</v>
      </c>
      <c r="AW7" s="5">
        <f t="shared" si="26"/>
        <v>0</v>
      </c>
      <c r="AX7" s="5">
        <f t="shared" si="27"/>
        <v>0</v>
      </c>
      <c r="AY7" s="5">
        <f t="shared" si="28"/>
        <v>0</v>
      </c>
      <c r="AZ7" s="5">
        <f t="shared" si="29"/>
        <v>0</v>
      </c>
      <c r="BA7" s="5">
        <f t="shared" si="41"/>
        <v>0</v>
      </c>
      <c r="BB7" s="5">
        <f t="shared" si="30"/>
        <v>0</v>
      </c>
      <c r="BC7" s="5">
        <f t="shared" si="31"/>
        <v>0</v>
      </c>
      <c r="BD7" s="5">
        <f t="shared" si="32"/>
        <v>17</v>
      </c>
      <c r="BE7" s="75">
        <f>RANK(BA7,BA$4:BA$7)</f>
        <v>1</v>
      </c>
      <c r="BF7" s="75">
        <f>SUMPRODUCT((BA$4:BA$7=BA7)*(AZ$4:AZ$7&gt;AZ7))</f>
        <v>0</v>
      </c>
      <c r="BG7" s="75">
        <f>SUMPRODUCT((BA$4:BA$7=BA7)*(BE$4:BE$7=BE7)*(AZ$4:AZ$7=AZ7)*(AQ$4:AQ$7&gt;AQ7))</f>
        <v>0</v>
      </c>
      <c r="BH7" s="75">
        <f>SUMPRODUCT((BA$4:BA$7=BA7)*(BE$4:BE$7=BE7)*(AZ$4:AZ$7=AZ7)*(AQ$4:AQ$7=AQ7)*(BB$4:BB$7&gt;BB7))</f>
        <v>0</v>
      </c>
      <c r="BI7" s="75">
        <f>SUMPRODUCT((BA$4:BA$7=BA7)*(BE$4:BE$7=BE7)*(AZ$4:AZ$7=AZ7)*(AQ$4:AQ$7=AQ7)*(BB$4:BB$7=BB7)*(BC$4:BC$7&gt;BC7))</f>
        <v>0</v>
      </c>
      <c r="BJ7" s="75">
        <f>SUMPRODUCT((BA$4:BA$7=BA7)*(BE$4:BE$7=BE7)*(AZ$4:AZ$7=AZ7)*(AQ$4:AQ$7=AQ7)*(BB$4:BB$7=BB7)*(BC$4:BC$7=BC7)*(BD$4:BD$7&gt;BD7))</f>
        <v>3</v>
      </c>
      <c r="BK7" s="5" t="str">
        <f>IF(AND(COUNTIF($AF$4:$AF$35,Gruppenphase!G16)&gt;0,COUNTIF($AF$4:$AF$35,Gruppenphase!M16)&gt;0,Gruppenphase!I16&lt;&gt;"",Gruppenphase!K16&lt;&gt;""),Gruppenphase!G16,"")</f>
        <v/>
      </c>
      <c r="BL7" s="5" t="str">
        <f>IF($BK7&lt;&gt;"",Gruppenphase!I16,"")</f>
        <v/>
      </c>
      <c r="BM7" s="5" t="str">
        <f>IF($BK7&lt;&gt;"",Gruppenphase!K16,"")</f>
        <v/>
      </c>
      <c r="BN7" s="5" t="str">
        <f>IF($BK7&lt;&gt;"",Gruppenphase!M16,"")</f>
        <v/>
      </c>
      <c r="BO7" s="5">
        <f t="shared" si="2"/>
        <v>4</v>
      </c>
      <c r="BP7" s="5" t="str">
        <f t="shared" si="33"/>
        <v>Napoli</v>
      </c>
      <c r="BQ7" s="5">
        <f>VLOOKUP($AD7,$B$4:$W$7,22,FALSE)</f>
        <v>0</v>
      </c>
      <c r="BR7" s="5" t="str">
        <f>IF(BR6&lt;&gt;"",AD7,"")</f>
        <v/>
      </c>
      <c r="BS7" s="5">
        <f>SUMPRODUCT(($BK$4:$BK$99='Dummy Table'!$AF7)*($BL$4:$BL$99&gt;$BM$4:$BM$99))</f>
        <v>0</v>
      </c>
      <c r="BT7" s="5">
        <f>SUMPRODUCT(($BK$4:$BK$99='Dummy Table'!$AF7)*($BL$4:$BL$99=$BM$4:$BM$99))</f>
        <v>0</v>
      </c>
      <c r="BU7" s="5">
        <f>SUMPRODUCT(($BK$4:$BK$99='Dummy Table'!$AF7)*($BL$4:$BL$99&lt;$BM$4:$BM$99))</f>
        <v>0</v>
      </c>
      <c r="BV7" s="5">
        <f>SUMIF($BK$4:$BK$99,'Dummy Table'!$AF7,$BL$4:$BL$99)</f>
        <v>0</v>
      </c>
      <c r="BW7" s="5">
        <f>SUMIF($BK$4:$BK$99,'Dummy Table'!$AF7,$BM$4:$BM$99)</f>
        <v>0</v>
      </c>
      <c r="BX7" s="5">
        <f t="shared" si="34"/>
        <v>0</v>
      </c>
      <c r="BY7" s="5" t="str">
        <f t="shared" si="35"/>
        <v/>
      </c>
      <c r="BZ7" s="5">
        <f>SUMPRODUCT(($BN$4:$BN$99='Dummy Table'!$AF7)*($BL$4:$BL$99&lt;$BM$4:$BM$99))</f>
        <v>0</v>
      </c>
      <c r="CA7" s="5">
        <f>SUMPRODUCT(($BN$4:$BN$99='Dummy Table'!$AF7)*($BL$4:$BL$99=$BM$4:$BM$99))</f>
        <v>0</v>
      </c>
      <c r="CB7" s="5">
        <f>SUMPRODUCT(($BN$4:$BN$99='Dummy Table'!$AF7)*($BL$4:$BL$99&gt;$BM$4:$BM$99))</f>
        <v>0</v>
      </c>
      <c r="CC7" s="5">
        <f>SUMIF($BN$4:$BN$99,'Dummy Table'!$AF7,$BM$4:$BM$99)</f>
        <v>0</v>
      </c>
      <c r="CD7" s="5">
        <f>SUMIF($BN$4:$BN$99,'Dummy Table'!$AF7,$BL$4:$BL$99)</f>
        <v>0</v>
      </c>
      <c r="CE7" s="5">
        <f t="shared" si="36"/>
        <v>0</v>
      </c>
      <c r="CF7" s="5" t="str">
        <f t="shared" si="37"/>
        <v/>
      </c>
      <c r="CG7" s="5">
        <f t="shared" si="38"/>
        <v>0</v>
      </c>
      <c r="CH7" s="5">
        <f t="shared" si="3"/>
        <v>0</v>
      </c>
      <c r="CI7" s="5">
        <f t="shared" si="4"/>
        <v>0</v>
      </c>
      <c r="CJ7" s="5">
        <f t="shared" si="5"/>
        <v>0</v>
      </c>
      <c r="CK7" s="5">
        <f t="shared" si="6"/>
        <v>0</v>
      </c>
      <c r="CL7" s="5">
        <f t="shared" si="7"/>
        <v>0</v>
      </c>
      <c r="CM7" s="5">
        <f t="shared" si="42"/>
        <v>-1</v>
      </c>
      <c r="CN7" s="5">
        <v>4</v>
      </c>
      <c r="CO7" s="5">
        <f>RANK(CM7,CM$4:CM$7)</f>
        <v>1</v>
      </c>
      <c r="CP7" s="5">
        <f>SUMPRODUCT((CM$4:CM$7=CM7)*(CO$4:CO$7=CO7)*(CC$4:CC$7&gt;CC7))</f>
        <v>0</v>
      </c>
      <c r="CQ7" s="5">
        <f>SUMPRODUCT((CM$4:CM$7=CM7)*(CL$4:CL$7&gt;CL7))</f>
        <v>0</v>
      </c>
      <c r="CR7" s="5">
        <f>SUMPRODUCT((CO$4:CO$7=CO7)*(CQ$4:CQ$7=CQ7)*(CJ$4:CJ$7&gt;CJ7))</f>
        <v>0</v>
      </c>
      <c r="CS7" s="5">
        <f>SUMPRODUCT((CO$4:CO$7=CO7)*(CQ$4:CQ$7=CQ7)*(CJ$4:CJ$7=CJ7)*(CN$4:CN$7&gt;CN7))</f>
        <v>0</v>
      </c>
      <c r="CT7" s="5" t="str">
        <f>IF(AND(COUNTIF($AF$4:$AF$35,Gruppenphase!$G16)&gt;0,COUNTIF($AF$4:$AF$35,Gruppenphase!$M16)&gt;0),Gruppenphase!$G16,"")</f>
        <v>Borussia Dortmund</v>
      </c>
      <c r="CU7" s="5" t="str">
        <f>IF($BK7&lt;&gt;"",Gruppenphase!$I16,"")</f>
        <v/>
      </c>
      <c r="CV7" s="5" t="str">
        <f>IF($BK7&lt;&gt;"",Gruppenphase!$K16,"")</f>
        <v/>
      </c>
      <c r="CW7" s="5" t="str">
        <f>IF($BK7&lt;&gt;"",Gruppenphase!$M16,"")</f>
        <v/>
      </c>
      <c r="CX7" s="5" t="str">
        <f t="shared" si="39"/>
        <v/>
      </c>
      <c r="CY7" s="5" t="str">
        <f t="shared" si="40"/>
        <v/>
      </c>
      <c r="CZ7" s="5">
        <v>4</v>
      </c>
      <c r="DA7" s="5" t="str">
        <f>IF(AF7="",AD7,"")</f>
        <v/>
      </c>
      <c r="DB7" s="5">
        <f>IF(AND(DA7="",DA6="",DA5="",DA4=""),4,IF(AND(DA7="",DA6="",DA5=""),3,IF(AND(DA5&lt;&gt;"",DA6="",DA7=""),2,IF(AND(DA5&lt;&gt;"",DA6&lt;&gt;"",DA7=""),1,""))))</f>
        <v>4</v>
      </c>
      <c r="DC7" s="5" t="str">
        <f>VLOOKUP(DB7,$BO$4:$BP$7,2,FALSE)</f>
        <v>Napoli</v>
      </c>
      <c r="DD7" s="5">
        <v>4</v>
      </c>
      <c r="DE7" s="5" t="str">
        <f>IF(CY7&lt;&gt;"",IF(CX6&lt;CX7,CY7,CY6),IF(DC7&lt;&gt;"",DC7,DA7))</f>
        <v>Napoli</v>
      </c>
    </row>
    <row r="8" spans="1:109" x14ac:dyDescent="0.2">
      <c r="A8" s="5">
        <f t="shared" si="8"/>
        <v>1</v>
      </c>
      <c r="B8" s="5" t="str">
        <f>'Club Namen'!B7</f>
        <v>Internazionale</v>
      </c>
      <c r="C8" s="5">
        <f>SUMPRODUCT((Gruppenphase!$I$13:$I$108&lt;&gt;"")*(Gruppenphase!$K$13:$K$108&lt;&gt;"")*(Gruppenphase!$G$13:$G$108='Dummy Table'!$B8)*(Gruppenphase!$I$13:$I$108&gt;Gruppenphase!$K$13:$K$108))</f>
        <v>0</v>
      </c>
      <c r="D8" s="5">
        <f>SUMPRODUCT((Gruppenphase!$I$13:$I$108&lt;&gt;"")*(Gruppenphase!$K$13:$K$108&lt;&gt;"")*(Gruppenphase!$G$13:$G$108='Dummy Table'!$B8)*(Gruppenphase!$I$13:$I$108=Gruppenphase!$K$13:$K$108))</f>
        <v>0</v>
      </c>
      <c r="E8" s="5">
        <f>SUMPRODUCT((Gruppenphase!$I$13:$I$108&lt;&gt;"")*(Gruppenphase!$K$13:$K$108&lt;&gt;"")*(Gruppenphase!$G$13:$G$108='Dummy Table'!$B8)*(Gruppenphase!$I$13:$I$108&lt;Gruppenphase!$K$13:$K$108))</f>
        <v>0</v>
      </c>
      <c r="F8" s="5">
        <f>SUMIF(Gruppenphase!$G$13:$G$108,'Dummy Table'!$B8,Gruppenphase!$I$13:$I$108)</f>
        <v>0</v>
      </c>
      <c r="G8" s="5">
        <f>SUMIF(Gruppenphase!$G$13:$G$108,'Dummy Table'!$B8,Gruppenphase!$K$13:$K$108)</f>
        <v>0</v>
      </c>
      <c r="H8" s="5">
        <f t="shared" si="9"/>
        <v>0</v>
      </c>
      <c r="I8" s="5">
        <f t="shared" si="10"/>
        <v>0</v>
      </c>
      <c r="J8" s="5">
        <f>SUMPRODUCT((Gruppenphase!$I$13:$I$108&lt;&gt;"")*(Gruppenphase!$K$13:$K$108&lt;&gt;"")*(Gruppenphase!$M$13:$M$108='Dummy Table'!$B8)*(Gruppenphase!$I$13:$I$108&lt;Gruppenphase!$K$13:$K$108))</f>
        <v>0</v>
      </c>
      <c r="K8" s="5">
        <f>SUMPRODUCT((Gruppenphase!$I$13:$I$108&lt;&gt;"")*(Gruppenphase!$K$13:$K$108&lt;&gt;"")*(Gruppenphase!$M$13:$M$108='Dummy Table'!$B8)*(Gruppenphase!$I$13:$I$108=Gruppenphase!$K$13:$K$108))</f>
        <v>0</v>
      </c>
      <c r="L8" s="5">
        <f>SUMPRODUCT((Gruppenphase!$I$13:$I$108&lt;&gt;"")*(Gruppenphase!$K$13:$K$108&lt;&gt;"")*(Gruppenphase!$M$13:$M$108='Dummy Table'!$B8)*(Gruppenphase!$I$13:$I$108&gt;Gruppenphase!$K$13:$K$108))</f>
        <v>0</v>
      </c>
      <c r="M8" s="5">
        <f>SUMIF(Gruppenphase!$M$13:$M$108,'Dummy Table'!$B8,Gruppenphase!$K$13:$K$108)</f>
        <v>0</v>
      </c>
      <c r="N8" s="5">
        <f>SUMIF(Gruppenphase!$M$13:$M$108,'Dummy Table'!$B8,Gruppenphase!$I$13:$I$108)</f>
        <v>0</v>
      </c>
      <c r="O8" s="5">
        <f t="shared" si="11"/>
        <v>0</v>
      </c>
      <c r="P8" s="5">
        <f t="shared" si="12"/>
        <v>0</v>
      </c>
      <c r="Q8" s="5">
        <f t="shared" si="13"/>
        <v>0</v>
      </c>
      <c r="R8" s="5">
        <f t="shared" si="14"/>
        <v>0</v>
      </c>
      <c r="S8" s="5">
        <f t="shared" si="15"/>
        <v>0</v>
      </c>
      <c r="T8" s="5">
        <f t="shared" si="16"/>
        <v>0</v>
      </c>
      <c r="U8" s="5">
        <f t="shared" si="17"/>
        <v>0</v>
      </c>
      <c r="V8" s="5">
        <f t="shared" si="18"/>
        <v>0</v>
      </c>
      <c r="W8" s="5">
        <f t="shared" si="19"/>
        <v>0</v>
      </c>
      <c r="X8" s="5">
        <v>111</v>
      </c>
      <c r="Y8" s="5">
        <f>RANK(W8,W$8:W$11)</f>
        <v>1</v>
      </c>
      <c r="Z8" s="5">
        <f>SUMPRODUCT((W$8:W$11=W8)*(V$8:V$11&gt;V8))</f>
        <v>0</v>
      </c>
      <c r="AA8" s="5">
        <f>SUMPRODUCT((Y$8:Y$11=Y8)*(Z$8:Z$11=Z8)*(T$8:T$11&gt;T8))</f>
        <v>0</v>
      </c>
      <c r="AB8" s="5">
        <f>SUMPRODUCT((Y$8:Y$11=Y8)*(Z$8:Z$11=Z8)*(T$8:T$11=T8)*(X$8:X$11&gt;X8))</f>
        <v>0</v>
      </c>
      <c r="AC8" s="5">
        <v>1</v>
      </c>
      <c r="AD8" s="5" t="str">
        <f>VLOOKUP(AC8,$A$8:$B$11,2,FALSE)</f>
        <v>Internazionale</v>
      </c>
      <c r="AE8" s="5">
        <f>VLOOKUP($AD8,$B$8:$W$11,22,FALSE)</f>
        <v>0</v>
      </c>
      <c r="AF8" s="5" t="str">
        <f>IF(AE8=AE9,AD8,"")</f>
        <v>Internazionale</v>
      </c>
      <c r="AG8" s="5">
        <f>SUMPRODUCT(($BK$4:$BK$99='Dummy Table'!$AF8)*($BL$4:$BL$99&gt;$BM$4:$BM$99))</f>
        <v>0</v>
      </c>
      <c r="AH8" s="5">
        <f>SUMPRODUCT(($BK$4:$BK$99='Dummy Table'!$AF8)*($BL$4:$BL$99=$BM$4:$BM$99))</f>
        <v>0</v>
      </c>
      <c r="AI8" s="5">
        <f>SUMPRODUCT(($BK$4:$BK$99='Dummy Table'!$AF8)*($BL$4:$BL$99&lt;$BM$4:$BM$99))</f>
        <v>0</v>
      </c>
      <c r="AJ8" s="5">
        <f>SUMIF($BK$4:$BK$99,'Dummy Table'!$AF8,$BL$4:$BL$99)</f>
        <v>0</v>
      </c>
      <c r="AK8" s="5">
        <f>SUMIF($BK$4:$BK$99,'Dummy Table'!$AF8,$BM$4:$BM$99)</f>
        <v>0</v>
      </c>
      <c r="AL8" s="5">
        <f t="shared" si="20"/>
        <v>0</v>
      </c>
      <c r="AM8" s="5">
        <f t="shared" si="21"/>
        <v>0</v>
      </c>
      <c r="AN8" s="5">
        <f>SUMPRODUCT(($BN$4:$BN$99='Dummy Table'!$AF8)*($BL$4:$BL$99&lt;$BM$4:$BM$99))</f>
        <v>0</v>
      </c>
      <c r="AO8" s="5">
        <f>SUMPRODUCT(($BN$4:$BN$99='Dummy Table'!$AF8)*($BL$4:$BL$99=$BM$4:$BM$99))</f>
        <v>0</v>
      </c>
      <c r="AP8" s="5">
        <f>SUMPRODUCT(($BN$4:$BN$99='Dummy Table'!$AF8)*($BL$4:$BL$99&gt;$BM$4:$BM$99))</f>
        <v>0</v>
      </c>
      <c r="AQ8" s="5">
        <f>SUMIF($BN$4:$BN$99,'Dummy Table'!$AF8,$BM$4:$BM$99)</f>
        <v>0</v>
      </c>
      <c r="AR8" s="5">
        <f>SUMIF($BN$4:$BN$99,'Dummy Table'!$AF8,$BL$4:$BL$99)</f>
        <v>0</v>
      </c>
      <c r="AS8" s="5">
        <f t="shared" si="22"/>
        <v>0</v>
      </c>
      <c r="AT8" s="5">
        <f t="shared" si="23"/>
        <v>0</v>
      </c>
      <c r="AU8" s="5">
        <f t="shared" si="24"/>
        <v>0</v>
      </c>
      <c r="AV8" s="5">
        <f t="shared" si="25"/>
        <v>0</v>
      </c>
      <c r="AW8" s="5">
        <f t="shared" si="26"/>
        <v>0</v>
      </c>
      <c r="AX8" s="5">
        <f t="shared" si="27"/>
        <v>0</v>
      </c>
      <c r="AY8" s="5">
        <f t="shared" si="28"/>
        <v>0</v>
      </c>
      <c r="AZ8" s="5">
        <f t="shared" si="29"/>
        <v>0</v>
      </c>
      <c r="BA8" s="5">
        <f t="shared" si="41"/>
        <v>0</v>
      </c>
      <c r="BB8" s="5">
        <f t="shared" si="30"/>
        <v>0</v>
      </c>
      <c r="BC8" s="5">
        <f t="shared" si="31"/>
        <v>0</v>
      </c>
      <c r="BD8" s="5">
        <f t="shared" si="32"/>
        <v>111</v>
      </c>
      <c r="BE8" s="75">
        <f>RANK(BA8,BA$8:BA$11)</f>
        <v>1</v>
      </c>
      <c r="BF8" s="75">
        <f>SUMPRODUCT((BA$8:BA$11=BA8)*(AZ$8:AZ$11&gt;AZ8))</f>
        <v>0</v>
      </c>
      <c r="BG8" s="75">
        <f>SUMPRODUCT((BA$8:BA$11=BA8)*(BE$8:BE$11=BE8)*(AZ$8:AZ$11=AZ8)*(AQ$8:AQ$11&gt;AQ8))</f>
        <v>0</v>
      </c>
      <c r="BH8" s="75">
        <f>SUMPRODUCT((BA$8:BA$11=BA8)*(BE$8:BE$11=BE8)*(AZ$8:AZ$11=AZ8)*(AQ$8:AQ$11=AQ8)*(BB$8:BB$11&gt;BB8))</f>
        <v>0</v>
      </c>
      <c r="BI8" s="75">
        <f>SUMPRODUCT((BA$8:BA$11=BA8)*(BE$8:BE$11=BE8)*(AZ$8:AZ$11=AZ8)*(AQ$8:AQ$11=AQ8)*(BB$8:BB$11=BB8)*(BC$8:BC$11&gt;BC8))</f>
        <v>0</v>
      </c>
      <c r="BJ8" s="75">
        <f>SUMPRODUCT((BA$8:BA$11=BA8)*(BE$8:BE$11=BE8)*(AZ$8:AZ$11=AZ8)*(AQ$8:AQ$11=AQ8)*(BB$8:BB$11=BB8)*(BC$8:BC$11=BC8)*(BD$8:BD$11&gt;BD8))</f>
        <v>0</v>
      </c>
      <c r="BK8" s="5" t="str">
        <f>IF(AND(COUNTIF($AF$4:$AF$35,Gruppenphase!G17)&gt;0,COUNTIF($AF$4:$AF$35,Gruppenphase!M17)&gt;0,Gruppenphase!I17&lt;&gt;"",Gruppenphase!K17&lt;&gt;""),Gruppenphase!G17,"")</f>
        <v/>
      </c>
      <c r="BL8" s="5" t="str">
        <f>IF($BK8&lt;&gt;"",Gruppenphase!I17,"")</f>
        <v/>
      </c>
      <c r="BM8" s="5" t="str">
        <f>IF($BK8&lt;&gt;"",Gruppenphase!K17,"")</f>
        <v/>
      </c>
      <c r="BN8" s="5" t="str">
        <f>IF($BK8&lt;&gt;"",Gruppenphase!M17,"")</f>
        <v/>
      </c>
      <c r="BO8" s="5">
        <f t="shared" si="2"/>
        <v>1</v>
      </c>
      <c r="BP8" s="5" t="str">
        <f t="shared" si="33"/>
        <v>Internazionale</v>
      </c>
      <c r="BQ8" s="5">
        <f>VLOOKUP($AD8,$B$8:$W$11,22,FALSE)</f>
        <v>0</v>
      </c>
      <c r="BS8" s="5">
        <f>SUMPRODUCT(($BK$4:$BK$99='Dummy Table'!$AF8)*($BL$4:$BL$99&gt;$BM$4:$BM$99))</f>
        <v>0</v>
      </c>
      <c r="BT8" s="5">
        <f>SUMPRODUCT(($BK$4:$BK$99='Dummy Table'!$AF8)*($BL$4:$BL$99=$BM$4:$BM$99))</f>
        <v>0</v>
      </c>
      <c r="BU8" s="5">
        <f>SUMPRODUCT(($BK$4:$BK$99='Dummy Table'!$AF8)*($BL$4:$BL$99&lt;$BM$4:$BM$99))</f>
        <v>0</v>
      </c>
      <c r="BV8" s="5">
        <f>SUMIF($BK$4:$BK$99,'Dummy Table'!$AF8,$BL$4:$BL$99)</f>
        <v>0</v>
      </c>
      <c r="BW8" s="5">
        <f>SUMIF($BK$4:$BK$99,'Dummy Table'!$AF8,$BM$4:$BM$99)</f>
        <v>0</v>
      </c>
      <c r="BX8" s="5">
        <f t="shared" si="34"/>
        <v>0</v>
      </c>
      <c r="BY8" s="5" t="str">
        <f t="shared" si="35"/>
        <v/>
      </c>
      <c r="BZ8" s="5">
        <f>SUMPRODUCT(($BN$4:$BN$99='Dummy Table'!$AF8)*($BL$4:$BL$99&lt;$BM$4:$BM$99))</f>
        <v>0</v>
      </c>
      <c r="CA8" s="5">
        <f>SUMPRODUCT(($BN$4:$BN$99='Dummy Table'!$AF8)*($BL$4:$BL$99=$BM$4:$BM$99))</f>
        <v>0</v>
      </c>
      <c r="CB8" s="5">
        <f>SUMPRODUCT(($BN$4:$BN$99='Dummy Table'!$AF8)*($BL$4:$BL$99&gt;$BM$4:$BM$99))</f>
        <v>0</v>
      </c>
      <c r="CC8" s="5">
        <f>SUMIF($BN$4:$BN$99,'Dummy Table'!$AF8,$BM$4:$BM$99)</f>
        <v>0</v>
      </c>
      <c r="CD8" s="5">
        <f>SUMIF($BN$4:$BN$99,'Dummy Table'!$AF8,$BL$4:$BL$99)</f>
        <v>0</v>
      </c>
      <c r="CE8" s="5">
        <f t="shared" si="36"/>
        <v>0</v>
      </c>
      <c r="CF8" s="5" t="str">
        <f t="shared" si="37"/>
        <v/>
      </c>
      <c r="CG8" s="5">
        <f t="shared" si="38"/>
        <v>0</v>
      </c>
      <c r="CH8" s="5">
        <f t="shared" si="3"/>
        <v>0</v>
      </c>
      <c r="CI8" s="5">
        <f t="shared" si="4"/>
        <v>0</v>
      </c>
      <c r="CJ8" s="5">
        <f t="shared" si="5"/>
        <v>0</v>
      </c>
      <c r="CK8" s="5">
        <f t="shared" si="6"/>
        <v>0</v>
      </c>
      <c r="CL8" s="5">
        <f t="shared" si="7"/>
        <v>0</v>
      </c>
      <c r="CM8" s="5">
        <f t="shared" si="42"/>
        <v>-1</v>
      </c>
      <c r="CN8" s="5">
        <v>5</v>
      </c>
      <c r="CO8" s="5">
        <f>RANK(CM8,CM$8:CM$11)</f>
        <v>1</v>
      </c>
      <c r="CP8" s="5">
        <f>SUMPRODUCT((CM$8:CM$11=CM8)*(CO$8:CO$11=CO8)*(CC$8:CC$11&gt;CC8))</f>
        <v>0</v>
      </c>
      <c r="CQ8" s="5">
        <f>SUMPRODUCT((CM$8:CM$11=CM8)*(CL$8:CL$11&gt;CL8))</f>
        <v>0</v>
      </c>
      <c r="CR8" s="5">
        <f>SUMPRODUCT((CO$8:CO$11=CO8)*(CQ$8:CQ$11=CQ8)*(CJ$8:CJ$11&gt;CJ8))</f>
        <v>0</v>
      </c>
      <c r="CS8" s="5">
        <f>SUMPRODUCT((CO$8:CO$11=CO8)*(CQ$8:CQ$11=CQ8)*(CJ$8:CJ$11=CJ8)*(CN$8:CN$11&gt;CN8))</f>
        <v>3</v>
      </c>
      <c r="CT8" s="5" t="str">
        <f>IF(AND(COUNTIF($AF$4:$AF$35,Gruppenphase!$G17)&gt;0,COUNTIF($AF$4:$AF$35,Gruppenphase!$M17)&gt;0),Gruppenphase!$G17,"")</f>
        <v>Porto</v>
      </c>
      <c r="CU8" s="5" t="str">
        <f>IF($BK8&lt;&gt;"",Gruppenphase!$I17,"")</f>
        <v/>
      </c>
      <c r="CV8" s="5" t="str">
        <f>IF($BK8&lt;&gt;"",Gruppenphase!$K17,"")</f>
        <v/>
      </c>
      <c r="CW8" s="5" t="str">
        <f>IF($BK8&lt;&gt;"",Gruppenphase!$M17,"")</f>
        <v/>
      </c>
      <c r="CX8" s="5" t="str">
        <f t="shared" si="39"/>
        <v/>
      </c>
      <c r="CY8" s="5" t="str">
        <f t="shared" si="40"/>
        <v/>
      </c>
      <c r="CZ8" s="5">
        <v>1</v>
      </c>
      <c r="DA8" s="5" t="str">
        <f t="shared" ref="DA8:DA35" si="43">IF(AF8="",AD8,"")</f>
        <v/>
      </c>
      <c r="DB8" s="5">
        <f>IF(DA8="",CZ8,"")</f>
        <v>1</v>
      </c>
      <c r="DC8" s="5" t="str">
        <f>VLOOKUP(DB8,$BO$8:$BP$11,2,FALSE)</f>
        <v>Internazionale</v>
      </c>
      <c r="DD8" s="5">
        <v>1</v>
      </c>
      <c r="DE8" s="5" t="str">
        <f>IF(DA8="",DC8,DA8)</f>
        <v>Internazionale</v>
      </c>
    </row>
    <row r="9" spans="1:109" x14ac:dyDescent="0.2">
      <c r="A9" s="5">
        <f t="shared" si="8"/>
        <v>2</v>
      </c>
      <c r="B9" s="5" t="str">
        <f>'Club Namen'!B8</f>
        <v>CSKA Moscow</v>
      </c>
      <c r="C9" s="5">
        <f>SUMPRODUCT((Gruppenphase!$I$13:$I$108&lt;&gt;"")*(Gruppenphase!$K$13:$K$108&lt;&gt;"")*(Gruppenphase!$G$13:$G$108='Dummy Table'!$B9)*(Gruppenphase!$I$13:$I$108&gt;Gruppenphase!$K$13:$K$108))</f>
        <v>0</v>
      </c>
      <c r="D9" s="5">
        <f>SUMPRODUCT((Gruppenphase!$I$13:$I$108&lt;&gt;"")*(Gruppenphase!$K$13:$K$108&lt;&gt;"")*(Gruppenphase!$G$13:$G$108='Dummy Table'!$B9)*(Gruppenphase!$I$13:$I$108=Gruppenphase!$K$13:$K$108))</f>
        <v>0</v>
      </c>
      <c r="E9" s="5">
        <f>SUMPRODUCT((Gruppenphase!$I$13:$I$108&lt;&gt;"")*(Gruppenphase!$K$13:$K$108&lt;&gt;"")*(Gruppenphase!$G$13:$G$108='Dummy Table'!$B9)*(Gruppenphase!$I$13:$I$108&lt;Gruppenphase!$K$13:$K$108))</f>
        <v>0</v>
      </c>
      <c r="F9" s="5">
        <f>SUMIF(Gruppenphase!$G$13:$G$108,'Dummy Table'!$B9,Gruppenphase!$I$13:$I$108)</f>
        <v>0</v>
      </c>
      <c r="G9" s="5">
        <f>SUMIF(Gruppenphase!$G$13:$G$108,'Dummy Table'!$B9,Gruppenphase!$K$13:$K$108)</f>
        <v>0</v>
      </c>
      <c r="H9" s="5">
        <f t="shared" si="9"/>
        <v>0</v>
      </c>
      <c r="I9" s="5">
        <f t="shared" si="10"/>
        <v>0</v>
      </c>
      <c r="J9" s="5">
        <f>SUMPRODUCT((Gruppenphase!$I$13:$I$108&lt;&gt;"")*(Gruppenphase!$K$13:$K$108&lt;&gt;"")*(Gruppenphase!$M$13:$M$108='Dummy Table'!$B9)*(Gruppenphase!$I$13:$I$108&lt;Gruppenphase!$K$13:$K$108))</f>
        <v>0</v>
      </c>
      <c r="K9" s="5">
        <f>SUMPRODUCT((Gruppenphase!$I$13:$I$108&lt;&gt;"")*(Gruppenphase!$K$13:$K$108&lt;&gt;"")*(Gruppenphase!$M$13:$M$108='Dummy Table'!$B9)*(Gruppenphase!$I$13:$I$108=Gruppenphase!$K$13:$K$108))</f>
        <v>0</v>
      </c>
      <c r="L9" s="5">
        <f>SUMPRODUCT((Gruppenphase!$I$13:$I$108&lt;&gt;"")*(Gruppenphase!$K$13:$K$108&lt;&gt;"")*(Gruppenphase!$M$13:$M$108='Dummy Table'!$B9)*(Gruppenphase!$I$13:$I$108&gt;Gruppenphase!$K$13:$K$108))</f>
        <v>0</v>
      </c>
      <c r="M9" s="5">
        <f>SUMIF(Gruppenphase!$M$13:$M$108,'Dummy Table'!$B9,Gruppenphase!$K$13:$K$108)</f>
        <v>0</v>
      </c>
      <c r="N9" s="5">
        <f>SUMIF(Gruppenphase!$M$13:$M$108,'Dummy Table'!$B9,Gruppenphase!$I$13:$I$108)</f>
        <v>0</v>
      </c>
      <c r="O9" s="5">
        <f t="shared" si="11"/>
        <v>0</v>
      </c>
      <c r="P9" s="5">
        <f t="shared" si="12"/>
        <v>0</v>
      </c>
      <c r="Q9" s="5">
        <f t="shared" si="13"/>
        <v>0</v>
      </c>
      <c r="R9" s="5">
        <f t="shared" si="14"/>
        <v>0</v>
      </c>
      <c r="S9" s="5">
        <f t="shared" si="15"/>
        <v>0</v>
      </c>
      <c r="T9" s="5">
        <f t="shared" si="16"/>
        <v>0</v>
      </c>
      <c r="U9" s="5">
        <f t="shared" si="17"/>
        <v>0</v>
      </c>
      <c r="V9" s="5">
        <f t="shared" si="18"/>
        <v>0</v>
      </c>
      <c r="W9" s="5">
        <f t="shared" si="19"/>
        <v>0</v>
      </c>
      <c r="X9" s="5">
        <v>71</v>
      </c>
      <c r="Y9" s="5">
        <f>RANK(W9,W$8:W$11)</f>
        <v>1</v>
      </c>
      <c r="Z9" s="5">
        <f>SUMPRODUCT((W$8:W$11=W9)*(V$8:V$11&gt;V9))</f>
        <v>0</v>
      </c>
      <c r="AA9" s="5">
        <f>SUMPRODUCT((Y$8:Y$11=Y9)*(Z$8:Z$11=Z9)*(T$8:T$11&gt;T9))</f>
        <v>0</v>
      </c>
      <c r="AB9" s="5">
        <f>SUMPRODUCT((Y$8:Y$11=Y9)*(Z$8:Z$11=Z9)*(T$8:T$11=T9)*(X$8:X$11&gt;X9))</f>
        <v>1</v>
      </c>
      <c r="AC9" s="5">
        <v>2</v>
      </c>
      <c r="AD9" s="5" t="str">
        <f>VLOOKUP(AC9,$A$8:$B$11,2,FALSE)</f>
        <v>CSKA Moscow</v>
      </c>
      <c r="AE9" s="5">
        <f>VLOOKUP($AD9,$B$8:$W$11,22,FALSE)</f>
        <v>0</v>
      </c>
      <c r="AF9" s="5" t="str">
        <f>IF(OR(AE9=AE8,AE9=AE10),AD9,"")</f>
        <v>CSKA Moscow</v>
      </c>
      <c r="AG9" s="5">
        <f>SUMPRODUCT(($BK$4:$BK$99='Dummy Table'!$AF9)*($BL$4:$BL$99&gt;$BM$4:$BM$99))</f>
        <v>0</v>
      </c>
      <c r="AH9" s="5">
        <f>SUMPRODUCT(($BK$4:$BK$99='Dummy Table'!$AF9)*($BL$4:$BL$99=$BM$4:$BM$99))</f>
        <v>0</v>
      </c>
      <c r="AI9" s="5">
        <f>SUMPRODUCT(($BK$4:$BK$99='Dummy Table'!$AF9)*($BL$4:$BL$99&lt;$BM$4:$BM$99))</f>
        <v>0</v>
      </c>
      <c r="AJ9" s="5">
        <f>SUMIF($BK$4:$BK$99,'Dummy Table'!$AF9,$BL$4:$BL$99)</f>
        <v>0</v>
      </c>
      <c r="AK9" s="5">
        <f>SUMIF($BK$4:$BK$99,'Dummy Table'!$AF9,$BM$4:$BM$99)</f>
        <v>0</v>
      </c>
      <c r="AL9" s="5">
        <f t="shared" si="20"/>
        <v>0</v>
      </c>
      <c r="AM9" s="5">
        <f t="shared" si="21"/>
        <v>0</v>
      </c>
      <c r="AN9" s="5">
        <f>SUMPRODUCT(($BN$4:$BN$99='Dummy Table'!$AF9)*($BL$4:$BL$99&lt;$BM$4:$BM$99))</f>
        <v>0</v>
      </c>
      <c r="AO9" s="5">
        <f>SUMPRODUCT(($BN$4:$BN$99='Dummy Table'!$AF9)*($BL$4:$BL$99=$BM$4:$BM$99))</f>
        <v>0</v>
      </c>
      <c r="AP9" s="5">
        <f>SUMPRODUCT(($BN$4:$BN$99='Dummy Table'!$AF9)*($BL$4:$BL$99&gt;$BM$4:$BM$99))</f>
        <v>0</v>
      </c>
      <c r="AQ9" s="5">
        <f>SUMIF($BN$4:$BN$99,'Dummy Table'!$AF9,$BM$4:$BM$99)</f>
        <v>0</v>
      </c>
      <c r="AR9" s="5">
        <f>SUMIF($BN$4:$BN$99,'Dummy Table'!$AF9,$BL$4:$BL$99)</f>
        <v>0</v>
      </c>
      <c r="AS9" s="5">
        <f t="shared" si="22"/>
        <v>0</v>
      </c>
      <c r="AT9" s="5">
        <f t="shared" si="23"/>
        <v>0</v>
      </c>
      <c r="AU9" s="5">
        <f t="shared" si="24"/>
        <v>0</v>
      </c>
      <c r="AV9" s="5">
        <f t="shared" si="25"/>
        <v>0</v>
      </c>
      <c r="AW9" s="5">
        <f t="shared" si="26"/>
        <v>0</v>
      </c>
      <c r="AX9" s="5">
        <f t="shared" si="27"/>
        <v>0</v>
      </c>
      <c r="AY9" s="5">
        <f t="shared" si="28"/>
        <v>0</v>
      </c>
      <c r="AZ9" s="5">
        <f t="shared" si="29"/>
        <v>0</v>
      </c>
      <c r="BA9" s="5">
        <f t="shared" si="41"/>
        <v>0</v>
      </c>
      <c r="BB9" s="5">
        <f t="shared" si="30"/>
        <v>0</v>
      </c>
      <c r="BC9" s="5">
        <f t="shared" si="31"/>
        <v>0</v>
      </c>
      <c r="BD9" s="5">
        <f t="shared" si="32"/>
        <v>71</v>
      </c>
      <c r="BE9" s="75">
        <f>RANK(BA9,BA$8:BA$11)</f>
        <v>1</v>
      </c>
      <c r="BF9" s="75">
        <f>SUMPRODUCT((BA$8:BA$11=BA9)*(AZ$8:AZ$11&gt;AZ9))</f>
        <v>0</v>
      </c>
      <c r="BG9" s="75">
        <f>SUMPRODUCT((BA$8:BA$11=BA9)*(BE$8:BE$11=BE9)*(AZ$8:AZ$11=AZ9)*(AQ$8:AQ$11&gt;AQ9))</f>
        <v>0</v>
      </c>
      <c r="BH9" s="75">
        <f>SUMPRODUCT((BA$8:BA$11=BA9)*(BE$8:BE$11=BE9)*(AZ$8:AZ$11=AZ9)*(AQ$8:AQ$11=AQ9)*(BB$8:BB$11&gt;BB9))</f>
        <v>0</v>
      </c>
      <c r="BI9" s="75">
        <f>SUMPRODUCT((BA$8:BA$11=BA9)*(BE$8:BE$11=BE9)*(AZ$8:AZ$11=AZ9)*(AQ$8:AQ$11=AQ9)*(BB$8:BB$11=BB9)*(BC$8:BC$11&gt;BC9))</f>
        <v>0</v>
      </c>
      <c r="BJ9" s="75">
        <f>SUMPRODUCT((BA$8:BA$11=BA9)*(BE$8:BE$11=BE9)*(AZ$8:AZ$11=AZ9)*(AQ$8:AQ$11=AQ9)*(BB$8:BB$11=BB9)*(BC$8:BC$11=BC9)*(BD$8:BD$11&gt;BD9))</f>
        <v>1</v>
      </c>
      <c r="BK9" s="5" t="str">
        <f>IF(AND(COUNTIF($AF$4:$AF$35,Gruppenphase!G18)&gt;0,COUNTIF($AF$4:$AF$35,Gruppenphase!M18)&gt;0,Gruppenphase!I18&lt;&gt;"",Gruppenphase!K18&lt;&gt;""),Gruppenphase!G18,"")</f>
        <v/>
      </c>
      <c r="BL9" s="5" t="str">
        <f>IF($BK9&lt;&gt;"",Gruppenphase!I18,"")</f>
        <v/>
      </c>
      <c r="BM9" s="5" t="str">
        <f>IF($BK9&lt;&gt;"",Gruppenphase!K18,"")</f>
        <v/>
      </c>
      <c r="BN9" s="5" t="str">
        <f>IF($BK9&lt;&gt;"",Gruppenphase!M18,"")</f>
        <v/>
      </c>
      <c r="BO9" s="5">
        <f t="shared" si="2"/>
        <v>2</v>
      </c>
      <c r="BP9" s="5" t="str">
        <f t="shared" si="33"/>
        <v>CSKA Moscow</v>
      </c>
      <c r="BQ9" s="5">
        <f>VLOOKUP($AD9,$B$8:$W$11,22,FALSE)</f>
        <v>0</v>
      </c>
      <c r="BS9" s="5">
        <f>SUMPRODUCT(($BK$4:$BK$99='Dummy Table'!$AF9)*($BL$4:$BL$99&gt;$BM$4:$BM$99))</f>
        <v>0</v>
      </c>
      <c r="BT9" s="5">
        <f>SUMPRODUCT(($BK$4:$BK$99='Dummy Table'!$AF9)*($BL$4:$BL$99=$BM$4:$BM$99))</f>
        <v>0</v>
      </c>
      <c r="BU9" s="5">
        <f>SUMPRODUCT(($BK$4:$BK$99='Dummy Table'!$AF9)*($BL$4:$BL$99&lt;$BM$4:$BM$99))</f>
        <v>0</v>
      </c>
      <c r="BV9" s="5">
        <f>SUMIF($BK$4:$BK$99,'Dummy Table'!$AF9,$BL$4:$BL$99)</f>
        <v>0</v>
      </c>
      <c r="BW9" s="5">
        <f>SUMIF($BK$4:$BK$99,'Dummy Table'!$AF9,$BM$4:$BM$99)</f>
        <v>0</v>
      </c>
      <c r="BX9" s="5">
        <f t="shared" si="34"/>
        <v>0</v>
      </c>
      <c r="BY9" s="5" t="str">
        <f t="shared" si="35"/>
        <v/>
      </c>
      <c r="BZ9" s="5">
        <f>SUMPRODUCT(($BN$4:$BN$99='Dummy Table'!$AF9)*($BL$4:$BL$99&lt;$BM$4:$BM$99))</f>
        <v>0</v>
      </c>
      <c r="CA9" s="5">
        <f>SUMPRODUCT(($BN$4:$BN$99='Dummy Table'!$AF9)*($BL$4:$BL$99=$BM$4:$BM$99))</f>
        <v>0</v>
      </c>
      <c r="CB9" s="5">
        <f>SUMPRODUCT(($BN$4:$BN$99='Dummy Table'!$AF9)*($BL$4:$BL$99&gt;$BM$4:$BM$99))</f>
        <v>0</v>
      </c>
      <c r="CC9" s="5">
        <f>SUMIF($BN$4:$BN$99,'Dummy Table'!$AF9,$BM$4:$BM$99)</f>
        <v>0</v>
      </c>
      <c r="CD9" s="5">
        <f>SUMIF($BN$4:$BN$99,'Dummy Table'!$AF9,$BL$4:$BL$99)</f>
        <v>0</v>
      </c>
      <c r="CE9" s="5">
        <f t="shared" si="36"/>
        <v>0</v>
      </c>
      <c r="CF9" s="5" t="str">
        <f t="shared" si="37"/>
        <v/>
      </c>
      <c r="CG9" s="5">
        <f t="shared" si="38"/>
        <v>0</v>
      </c>
      <c r="CH9" s="5">
        <f t="shared" si="3"/>
        <v>0</v>
      </c>
      <c r="CI9" s="5">
        <f t="shared" si="4"/>
        <v>0</v>
      </c>
      <c r="CJ9" s="5">
        <f t="shared" si="5"/>
        <v>0</v>
      </c>
      <c r="CK9" s="5">
        <f t="shared" si="6"/>
        <v>0</v>
      </c>
      <c r="CL9" s="5">
        <f t="shared" si="7"/>
        <v>0</v>
      </c>
      <c r="CM9" s="5">
        <f t="shared" si="42"/>
        <v>-1</v>
      </c>
      <c r="CN9" s="5">
        <v>6</v>
      </c>
      <c r="CO9" s="5">
        <f>RANK(CM9,CM$8:CM$11)</f>
        <v>1</v>
      </c>
      <c r="CP9" s="5">
        <f>SUMPRODUCT((CM$8:CM$11=CM9)*(CO$8:CO$11=CO9)*(CC$8:CC$11&gt;CC9))</f>
        <v>0</v>
      </c>
      <c r="CQ9" s="5">
        <f>SUMPRODUCT((CM$8:CM$11=CM9)*(CL$8:CL$11&gt;CL9))</f>
        <v>0</v>
      </c>
      <c r="CR9" s="5">
        <f>SUMPRODUCT((CO$8:CO$11=CO9)*(CQ$8:CQ$11=CQ9)*(CJ$8:CJ$11&gt;CJ9))</f>
        <v>0</v>
      </c>
      <c r="CS9" s="5">
        <f>SUMPRODUCT((CO$8:CO$11=CO9)*(CQ$8:CQ$11=CQ9)*(CJ$8:CJ$11=CJ9)*(CN$8:CN$11&gt;CN9))</f>
        <v>2</v>
      </c>
      <c r="CT9" s="5" t="str">
        <f>IF(AND(COUNTIF($AF$4:$AF$35,Gruppenphase!$G18)&gt;0,COUNTIF($AF$4:$AF$35,Gruppenphase!$M18)&gt;0),Gruppenphase!$G18,"")</f>
        <v>APOEL</v>
      </c>
      <c r="CU9" s="5" t="str">
        <f>IF($BK9&lt;&gt;"",Gruppenphase!$I18,"")</f>
        <v/>
      </c>
      <c r="CV9" s="5" t="str">
        <f>IF($BK9&lt;&gt;"",Gruppenphase!$K18,"")</f>
        <v/>
      </c>
      <c r="CW9" s="5" t="str">
        <f>IF($BK9&lt;&gt;"",Gruppenphase!$M18,"")</f>
        <v/>
      </c>
      <c r="CX9" s="5" t="str">
        <f t="shared" si="39"/>
        <v/>
      </c>
      <c r="CY9" s="5" t="str">
        <f t="shared" si="40"/>
        <v/>
      </c>
      <c r="CZ9" s="5">
        <v>2</v>
      </c>
      <c r="DA9" s="5" t="str">
        <f t="shared" si="43"/>
        <v/>
      </c>
      <c r="DB9" s="5">
        <f>IF(AND(DA9="",DA8=""),CZ9,IF(AND(DA8&lt;&gt;"",DA9=""),1,""))</f>
        <v>2</v>
      </c>
      <c r="DC9" s="5" t="str">
        <f>VLOOKUP(DB9,$BO$8:$BP$11,2,FALSE)</f>
        <v>CSKA Moscow</v>
      </c>
      <c r="DD9" s="5">
        <v>2</v>
      </c>
      <c r="DE9" s="5" t="str">
        <f>IF(DA9="",DC9,DA9)</f>
        <v>CSKA Moscow</v>
      </c>
    </row>
    <row r="10" spans="1:109" x14ac:dyDescent="0.2">
      <c r="A10" s="5">
        <f t="shared" si="8"/>
        <v>3</v>
      </c>
      <c r="B10" s="5" t="str">
        <f>'Club Namen'!B9</f>
        <v>Lille</v>
      </c>
      <c r="C10" s="5">
        <f>SUMPRODUCT((Gruppenphase!$I$13:$I$108&lt;&gt;"")*(Gruppenphase!$K$13:$K$108&lt;&gt;"")*(Gruppenphase!$G$13:$G$108='Dummy Table'!$B10)*(Gruppenphase!$I$13:$I$108&gt;Gruppenphase!$K$13:$K$108))</f>
        <v>0</v>
      </c>
      <c r="D10" s="5">
        <f>SUMPRODUCT((Gruppenphase!$I$13:$I$108&lt;&gt;"")*(Gruppenphase!$K$13:$K$108&lt;&gt;"")*(Gruppenphase!$G$13:$G$108='Dummy Table'!$B10)*(Gruppenphase!$I$13:$I$108=Gruppenphase!$K$13:$K$108))</f>
        <v>0</v>
      </c>
      <c r="E10" s="5">
        <f>SUMPRODUCT((Gruppenphase!$I$13:$I$108&lt;&gt;"")*(Gruppenphase!$K$13:$K$108&lt;&gt;"")*(Gruppenphase!$G$13:$G$108='Dummy Table'!$B10)*(Gruppenphase!$I$13:$I$108&lt;Gruppenphase!$K$13:$K$108))</f>
        <v>0</v>
      </c>
      <c r="F10" s="5">
        <f>SUMIF(Gruppenphase!$G$13:$G$108,'Dummy Table'!$B10,Gruppenphase!$I$13:$I$108)</f>
        <v>0</v>
      </c>
      <c r="G10" s="5">
        <f>SUMIF(Gruppenphase!$G$13:$G$108,'Dummy Table'!$B10,Gruppenphase!$K$13:$K$108)</f>
        <v>0</v>
      </c>
      <c r="H10" s="5">
        <f t="shared" si="9"/>
        <v>0</v>
      </c>
      <c r="I10" s="5">
        <f t="shared" si="10"/>
        <v>0</v>
      </c>
      <c r="J10" s="5">
        <f>SUMPRODUCT((Gruppenphase!$I$13:$I$108&lt;&gt;"")*(Gruppenphase!$K$13:$K$108&lt;&gt;"")*(Gruppenphase!$M$13:$M$108='Dummy Table'!$B10)*(Gruppenphase!$I$13:$I$108&lt;Gruppenphase!$K$13:$K$108))</f>
        <v>0</v>
      </c>
      <c r="K10" s="5">
        <f>SUMPRODUCT((Gruppenphase!$I$13:$I$108&lt;&gt;"")*(Gruppenphase!$K$13:$K$108&lt;&gt;"")*(Gruppenphase!$M$13:$M$108='Dummy Table'!$B10)*(Gruppenphase!$I$13:$I$108=Gruppenphase!$K$13:$K$108))</f>
        <v>0</v>
      </c>
      <c r="L10" s="5">
        <f>SUMPRODUCT((Gruppenphase!$I$13:$I$108&lt;&gt;"")*(Gruppenphase!$K$13:$K$108&lt;&gt;"")*(Gruppenphase!$M$13:$M$108='Dummy Table'!$B10)*(Gruppenphase!$I$13:$I$108&gt;Gruppenphase!$K$13:$K$108))</f>
        <v>0</v>
      </c>
      <c r="M10" s="5">
        <f>SUMIF(Gruppenphase!$M$13:$M$108,'Dummy Table'!$B10,Gruppenphase!$K$13:$K$108)</f>
        <v>0</v>
      </c>
      <c r="N10" s="5">
        <f>SUMIF(Gruppenphase!$M$13:$M$108,'Dummy Table'!$B10,Gruppenphase!$I$13:$I$108)</f>
        <v>0</v>
      </c>
      <c r="O10" s="5">
        <f t="shared" si="11"/>
        <v>0</v>
      </c>
      <c r="P10" s="5">
        <f t="shared" si="12"/>
        <v>0</v>
      </c>
      <c r="Q10" s="5">
        <f t="shared" si="13"/>
        <v>0</v>
      </c>
      <c r="R10" s="5">
        <f t="shared" si="14"/>
        <v>0</v>
      </c>
      <c r="S10" s="5">
        <f t="shared" si="15"/>
        <v>0</v>
      </c>
      <c r="T10" s="5">
        <f t="shared" si="16"/>
        <v>0</v>
      </c>
      <c r="U10" s="5">
        <f t="shared" si="17"/>
        <v>0</v>
      </c>
      <c r="V10" s="5">
        <f t="shared" si="18"/>
        <v>0</v>
      </c>
      <c r="W10" s="5">
        <f t="shared" si="19"/>
        <v>0</v>
      </c>
      <c r="X10" s="5">
        <v>32</v>
      </c>
      <c r="Y10" s="5">
        <f>RANK(W10,W$8:W$11)</f>
        <v>1</v>
      </c>
      <c r="Z10" s="5">
        <f>SUMPRODUCT((W$8:W$11=W10)*(V$8:V$11&gt;V10))</f>
        <v>0</v>
      </c>
      <c r="AA10" s="5">
        <f>SUMPRODUCT((Y$8:Y$11=Y10)*(Z$8:Z$11=Z10)*(T$8:T$11&gt;T10))</f>
        <v>0</v>
      </c>
      <c r="AB10" s="5">
        <f>SUMPRODUCT((Y$8:Y$11=Y10)*(Z$8:Z$11=Z10)*(T$8:T$11=T10)*(X$8:X$11&gt;X10))</f>
        <v>2</v>
      </c>
      <c r="AC10" s="5">
        <v>3</v>
      </c>
      <c r="AD10" s="5" t="str">
        <f>VLOOKUP(AC10,$A$8:$B$11,2,FALSE)</f>
        <v>Lille</v>
      </c>
      <c r="AE10" s="5">
        <f>VLOOKUP($AD10,$B$8:$W$11,22,FALSE)</f>
        <v>0</v>
      </c>
      <c r="AF10" s="5" t="str">
        <f>IF(AE10=AE9,AD10,"")</f>
        <v>Lille</v>
      </c>
      <c r="AG10" s="5">
        <f>SUMPRODUCT(($BK$4:$BK$99='Dummy Table'!$AF10)*($BL$4:$BL$99&gt;$BM$4:$BM$99))</f>
        <v>0</v>
      </c>
      <c r="AH10" s="5">
        <f>SUMPRODUCT(($BK$4:$BK$99='Dummy Table'!$AF10)*($BL$4:$BL$99=$BM$4:$BM$99))</f>
        <v>0</v>
      </c>
      <c r="AI10" s="5">
        <f>SUMPRODUCT(($BK$4:$BK$99='Dummy Table'!$AF10)*($BL$4:$BL$99&lt;$BM$4:$BM$99))</f>
        <v>0</v>
      </c>
      <c r="AJ10" s="5">
        <f>SUMIF($BK$4:$BK$99,'Dummy Table'!$AF10,$BL$4:$BL$99)</f>
        <v>0</v>
      </c>
      <c r="AK10" s="5">
        <f>SUMIF($BK$4:$BK$99,'Dummy Table'!$AF10,$BM$4:$BM$99)</f>
        <v>0</v>
      </c>
      <c r="AL10" s="5">
        <f t="shared" si="20"/>
        <v>0</v>
      </c>
      <c r="AM10" s="5">
        <f t="shared" si="21"/>
        <v>0</v>
      </c>
      <c r="AN10" s="5">
        <f>SUMPRODUCT(($BN$4:$BN$99='Dummy Table'!$AF10)*($BL$4:$BL$99&lt;$BM$4:$BM$99))</f>
        <v>0</v>
      </c>
      <c r="AO10" s="5">
        <f>SUMPRODUCT(($BN$4:$BN$99='Dummy Table'!$AF10)*($BL$4:$BL$99=$BM$4:$BM$99))</f>
        <v>0</v>
      </c>
      <c r="AP10" s="5">
        <f>SUMPRODUCT(($BN$4:$BN$99='Dummy Table'!$AF10)*($BL$4:$BL$99&gt;$BM$4:$BM$99))</f>
        <v>0</v>
      </c>
      <c r="AQ10" s="5">
        <f>SUMIF($BN$4:$BN$99,'Dummy Table'!$AF10,$BM$4:$BM$99)</f>
        <v>0</v>
      </c>
      <c r="AR10" s="5">
        <f>SUMIF($BN$4:$BN$99,'Dummy Table'!$AF10,$BL$4:$BL$99)</f>
        <v>0</v>
      </c>
      <c r="AS10" s="5">
        <f t="shared" si="22"/>
        <v>0</v>
      </c>
      <c r="AT10" s="5">
        <f t="shared" si="23"/>
        <v>0</v>
      </c>
      <c r="AU10" s="5">
        <f t="shared" si="24"/>
        <v>0</v>
      </c>
      <c r="AV10" s="5">
        <f t="shared" si="25"/>
        <v>0</v>
      </c>
      <c r="AW10" s="5">
        <f t="shared" si="26"/>
        <v>0</v>
      </c>
      <c r="AX10" s="5">
        <f t="shared" si="27"/>
        <v>0</v>
      </c>
      <c r="AY10" s="5">
        <f t="shared" si="28"/>
        <v>0</v>
      </c>
      <c r="AZ10" s="5">
        <f t="shared" si="29"/>
        <v>0</v>
      </c>
      <c r="BA10" s="5">
        <f t="shared" si="41"/>
        <v>0</v>
      </c>
      <c r="BB10" s="5">
        <f t="shared" si="30"/>
        <v>0</v>
      </c>
      <c r="BC10" s="5">
        <f t="shared" si="31"/>
        <v>0</v>
      </c>
      <c r="BD10" s="5">
        <f t="shared" si="32"/>
        <v>32</v>
      </c>
      <c r="BE10" s="75">
        <f>RANK(BA10,BA$8:BA$11)</f>
        <v>1</v>
      </c>
      <c r="BF10" s="75">
        <f>SUMPRODUCT((BA$8:BA$11=BA10)*(AZ$8:AZ$11&gt;AZ10))</f>
        <v>0</v>
      </c>
      <c r="BG10" s="75">
        <f>SUMPRODUCT((BA$8:BA$11=BA10)*(BE$8:BE$11=BE10)*(AZ$8:AZ$11=AZ10)*(AQ$8:AQ$11&gt;AQ10))</f>
        <v>0</v>
      </c>
      <c r="BH10" s="75">
        <f>SUMPRODUCT((BA$8:BA$11=BA10)*(BE$8:BE$11=BE10)*(AZ$8:AZ$11=AZ10)*(AQ$8:AQ$11=AQ10)*(BB$8:BB$11&gt;BB10))</f>
        <v>0</v>
      </c>
      <c r="BI10" s="75">
        <f>SUMPRODUCT((BA$8:BA$11=BA10)*(BE$8:BE$11=BE10)*(AZ$8:AZ$11=AZ10)*(AQ$8:AQ$11=AQ10)*(BB$8:BB$11=BB10)*(BC$8:BC$11&gt;BC10))</f>
        <v>0</v>
      </c>
      <c r="BJ10" s="75">
        <f>SUMPRODUCT((BA$8:BA$11=BA10)*(BE$8:BE$11=BE10)*(AZ$8:AZ$11=AZ10)*(AQ$8:AQ$11=AQ10)*(BB$8:BB$11=BB10)*(BC$8:BC$11=BC10)*(BD$8:BD$11&gt;BD10))</f>
        <v>2</v>
      </c>
      <c r="BK10" s="5" t="str">
        <f>IF(AND(COUNTIF($AF$4:$AF$35,Gruppenphase!G19)&gt;0,COUNTIF($AF$4:$AF$35,Gruppenphase!M19)&gt;0,Gruppenphase!I19&lt;&gt;"",Gruppenphase!K19&lt;&gt;""),Gruppenphase!G19,"")</f>
        <v/>
      </c>
      <c r="BL10" s="5" t="str">
        <f>IF($BK10&lt;&gt;"",Gruppenphase!I19,"")</f>
        <v/>
      </c>
      <c r="BM10" s="5" t="str">
        <f>IF($BK10&lt;&gt;"",Gruppenphase!K19,"")</f>
        <v/>
      </c>
      <c r="BN10" s="5" t="str">
        <f>IF($BK10&lt;&gt;"",Gruppenphase!M19,"")</f>
        <v/>
      </c>
      <c r="BO10" s="5">
        <f t="shared" si="2"/>
        <v>3</v>
      </c>
      <c r="BP10" s="5" t="str">
        <f t="shared" si="33"/>
        <v>Lille</v>
      </c>
      <c r="BQ10" s="5">
        <f>VLOOKUP($AD10,$B$8:$W$11,22,FALSE)</f>
        <v>0</v>
      </c>
      <c r="BR10" s="5" t="str">
        <f>IF(AND(BQ10&lt;&gt;BQ9,BQ10=BQ11),AD10,"")</f>
        <v/>
      </c>
      <c r="BS10" s="5">
        <f>SUMPRODUCT(($BK$4:$BK$99='Dummy Table'!$AF10)*($BL$4:$BL$99&gt;$BM$4:$BM$99))</f>
        <v>0</v>
      </c>
      <c r="BT10" s="5">
        <f>SUMPRODUCT(($BK$4:$BK$99='Dummy Table'!$AF10)*($BL$4:$BL$99=$BM$4:$BM$99))</f>
        <v>0</v>
      </c>
      <c r="BU10" s="5">
        <f>SUMPRODUCT(($BK$4:$BK$99='Dummy Table'!$AF10)*($BL$4:$BL$99&lt;$BM$4:$BM$99))</f>
        <v>0</v>
      </c>
      <c r="BV10" s="5">
        <f>SUMIF($BK$4:$BK$99,'Dummy Table'!$AF10,$BL$4:$BL$99)</f>
        <v>0</v>
      </c>
      <c r="BW10" s="5">
        <f>SUMIF($BK$4:$BK$99,'Dummy Table'!$AF10,$BM$4:$BM$99)</f>
        <v>0</v>
      </c>
      <c r="BX10" s="5">
        <f t="shared" si="34"/>
        <v>0</v>
      </c>
      <c r="BY10" s="5" t="str">
        <f t="shared" si="35"/>
        <v/>
      </c>
      <c r="BZ10" s="5">
        <f>SUMPRODUCT(($BN$4:$BN$99='Dummy Table'!$AF10)*($BL$4:$BL$99&lt;$BM$4:$BM$99))</f>
        <v>0</v>
      </c>
      <c r="CA10" s="5">
        <f>SUMPRODUCT(($BN$4:$BN$99='Dummy Table'!$AF10)*($BL$4:$BL$99=$BM$4:$BM$99))</f>
        <v>0</v>
      </c>
      <c r="CB10" s="5">
        <f>SUMPRODUCT(($BN$4:$BN$99='Dummy Table'!$AF10)*($BL$4:$BL$99&gt;$BM$4:$BM$99))</f>
        <v>0</v>
      </c>
      <c r="CC10" s="5">
        <f>SUMIF($BN$4:$BN$99,'Dummy Table'!$AF10,$BM$4:$BM$99)</f>
        <v>0</v>
      </c>
      <c r="CD10" s="5">
        <f>SUMIF($BN$4:$BN$99,'Dummy Table'!$AF10,$BL$4:$BL$99)</f>
        <v>0</v>
      </c>
      <c r="CE10" s="5">
        <f t="shared" si="36"/>
        <v>0</v>
      </c>
      <c r="CF10" s="5" t="str">
        <f t="shared" si="37"/>
        <v/>
      </c>
      <c r="CG10" s="5">
        <f t="shared" si="38"/>
        <v>0</v>
      </c>
      <c r="CH10" s="5">
        <f t="shared" si="3"/>
        <v>0</v>
      </c>
      <c r="CI10" s="5">
        <f t="shared" si="4"/>
        <v>0</v>
      </c>
      <c r="CJ10" s="5">
        <f t="shared" si="5"/>
        <v>0</v>
      </c>
      <c r="CK10" s="5">
        <f t="shared" si="6"/>
        <v>0</v>
      </c>
      <c r="CL10" s="5">
        <f t="shared" si="7"/>
        <v>0</v>
      </c>
      <c r="CM10" s="5">
        <f t="shared" si="42"/>
        <v>-1</v>
      </c>
      <c r="CN10" s="5">
        <v>7</v>
      </c>
      <c r="CO10" s="5">
        <f>RANK(CM10,CM$8:CM$11)</f>
        <v>1</v>
      </c>
      <c r="CP10" s="5">
        <f>SUMPRODUCT((CM$8:CM$11=CM10)*(CO$8:CO$11=CO10)*(CC$8:CC$11&gt;CC10))</f>
        <v>0</v>
      </c>
      <c r="CQ10" s="5">
        <f>SUMPRODUCT((CM$8:CM$11=CM10)*(CL$8:CL$11&gt;CL10))</f>
        <v>0</v>
      </c>
      <c r="CR10" s="5">
        <f>SUMPRODUCT((CO$8:CO$11=CO10)*(CQ$8:CQ$11=CQ10)*(CJ$8:CJ$11&gt;CJ10))</f>
        <v>0</v>
      </c>
      <c r="CS10" s="5">
        <f>SUMPRODUCT((CO$8:CO$11=CO10)*(CQ$8:CQ$11=CQ10)*(CJ$8:CJ$11=CJ10)*(CN$8:CN$11&gt;CN10))</f>
        <v>1</v>
      </c>
      <c r="CT10" s="5" t="str">
        <f>IF(AND(COUNTIF($AF$4:$AF$35,Gruppenphase!$G19)&gt;0,COUNTIF($AF$4:$AF$35,Gruppenphase!$M19)&gt;0),Gruppenphase!$G19,"")</f>
        <v>Barcelona</v>
      </c>
      <c r="CU10" s="5" t="str">
        <f>IF($BK10&lt;&gt;"",Gruppenphase!$I19,"")</f>
        <v/>
      </c>
      <c r="CV10" s="5" t="str">
        <f>IF($BK10&lt;&gt;"",Gruppenphase!$K19,"")</f>
        <v/>
      </c>
      <c r="CW10" s="5" t="str">
        <f>IF($BK10&lt;&gt;"",Gruppenphase!$M19,"")</f>
        <v/>
      </c>
      <c r="CX10" s="5" t="str">
        <f t="shared" si="39"/>
        <v/>
      </c>
      <c r="CY10" s="5" t="str">
        <f t="shared" si="40"/>
        <v/>
      </c>
      <c r="CZ10" s="5">
        <v>3</v>
      </c>
      <c r="DA10" s="5" t="str">
        <f t="shared" si="43"/>
        <v/>
      </c>
      <c r="DB10" s="5">
        <f>IF(AND(DA10="",DA9="",DA8=""),CZ10,IF(AND(DA8&lt;&gt;"",DA9="",DA10=""),2,IF(AND(DA8&lt;&gt;"",DA9&lt;&gt;"",DA10=""),1,"")))</f>
        <v>3</v>
      </c>
      <c r="DC10" s="5" t="str">
        <f>VLOOKUP(DB10,$BO$8:$BP$11,2,FALSE)</f>
        <v>Lille</v>
      </c>
      <c r="DD10" s="5">
        <v>3</v>
      </c>
      <c r="DE10" s="5" t="str">
        <f>IF(CY10&lt;&gt;"",IF(CX10&lt;CX11,CY10,CY11),IF(DC10&lt;&gt;"",DC10,DA10))</f>
        <v>Lille</v>
      </c>
    </row>
    <row r="11" spans="1:109" x14ac:dyDescent="0.2">
      <c r="A11" s="5">
        <f t="shared" si="8"/>
        <v>4</v>
      </c>
      <c r="B11" s="5" t="str">
        <f>'Club Namen'!B10</f>
        <v>Trabzonspor</v>
      </c>
      <c r="C11" s="5">
        <f>SUMPRODUCT((Gruppenphase!$I$13:$I$108&lt;&gt;"")*(Gruppenphase!$K$13:$K$108&lt;&gt;"")*(Gruppenphase!$G$13:$G$108='Dummy Table'!$B11)*(Gruppenphase!$I$13:$I$108&gt;Gruppenphase!$K$13:$K$108))</f>
        <v>0</v>
      </c>
      <c r="D11" s="5">
        <f>SUMPRODUCT((Gruppenphase!$I$13:$I$108&lt;&gt;"")*(Gruppenphase!$K$13:$K$108&lt;&gt;"")*(Gruppenphase!$G$13:$G$108='Dummy Table'!$B11)*(Gruppenphase!$I$13:$I$108=Gruppenphase!$K$13:$K$108))</f>
        <v>0</v>
      </c>
      <c r="E11" s="5">
        <f>SUMPRODUCT((Gruppenphase!$I$13:$I$108&lt;&gt;"")*(Gruppenphase!$K$13:$K$108&lt;&gt;"")*(Gruppenphase!$G$13:$G$108='Dummy Table'!$B11)*(Gruppenphase!$I$13:$I$108&lt;Gruppenphase!$K$13:$K$108))</f>
        <v>0</v>
      </c>
      <c r="F11" s="5">
        <f>SUMIF(Gruppenphase!$G$13:$G$108,'Dummy Table'!$B11,Gruppenphase!$I$13:$I$108)</f>
        <v>0</v>
      </c>
      <c r="G11" s="5">
        <f>SUMIF(Gruppenphase!$G$13:$G$108,'Dummy Table'!$B11,Gruppenphase!$K$13:$K$108)</f>
        <v>0</v>
      </c>
      <c r="H11" s="5">
        <f t="shared" si="9"/>
        <v>0</v>
      </c>
      <c r="I11" s="5">
        <f t="shared" si="10"/>
        <v>0</v>
      </c>
      <c r="J11" s="5">
        <f>SUMPRODUCT((Gruppenphase!$I$13:$I$108&lt;&gt;"")*(Gruppenphase!$K$13:$K$108&lt;&gt;"")*(Gruppenphase!$M$13:$M$108='Dummy Table'!$B11)*(Gruppenphase!$I$13:$I$108&lt;Gruppenphase!$K$13:$K$108))</f>
        <v>0</v>
      </c>
      <c r="K11" s="5">
        <f>SUMPRODUCT((Gruppenphase!$I$13:$I$108&lt;&gt;"")*(Gruppenphase!$K$13:$K$108&lt;&gt;"")*(Gruppenphase!$M$13:$M$108='Dummy Table'!$B11)*(Gruppenphase!$I$13:$I$108=Gruppenphase!$K$13:$K$108))</f>
        <v>0</v>
      </c>
      <c r="L11" s="5">
        <f>SUMPRODUCT((Gruppenphase!$I$13:$I$108&lt;&gt;"")*(Gruppenphase!$K$13:$K$108&lt;&gt;"")*(Gruppenphase!$M$13:$M$108='Dummy Table'!$B11)*(Gruppenphase!$I$13:$I$108&gt;Gruppenphase!$K$13:$K$108))</f>
        <v>0</v>
      </c>
      <c r="M11" s="5">
        <f>SUMIF(Gruppenphase!$M$13:$M$108,'Dummy Table'!$B11,Gruppenphase!$K$13:$K$108)</f>
        <v>0</v>
      </c>
      <c r="N11" s="5">
        <f>SUMIF(Gruppenphase!$M$13:$M$108,'Dummy Table'!$B11,Gruppenphase!$I$13:$I$108)</f>
        <v>0</v>
      </c>
      <c r="O11" s="5">
        <f t="shared" si="11"/>
        <v>0</v>
      </c>
      <c r="P11" s="5">
        <f t="shared" si="12"/>
        <v>0</v>
      </c>
      <c r="Q11" s="5">
        <f t="shared" si="13"/>
        <v>0</v>
      </c>
      <c r="R11" s="5">
        <f t="shared" si="14"/>
        <v>0</v>
      </c>
      <c r="S11" s="5">
        <f t="shared" si="15"/>
        <v>0</v>
      </c>
      <c r="T11" s="5">
        <f t="shared" si="16"/>
        <v>0</v>
      </c>
      <c r="U11" s="5">
        <f t="shared" si="17"/>
        <v>0</v>
      </c>
      <c r="V11" s="5">
        <f t="shared" si="18"/>
        <v>0</v>
      </c>
      <c r="W11" s="5">
        <f t="shared" si="19"/>
        <v>0</v>
      </c>
      <c r="X11" s="5">
        <v>21</v>
      </c>
      <c r="Y11" s="5">
        <f>RANK(W11,W$8:W$11)</f>
        <v>1</v>
      </c>
      <c r="Z11" s="5">
        <f>SUMPRODUCT((W$8:W$11=W11)*(V$8:V$11&gt;V11))</f>
        <v>0</v>
      </c>
      <c r="AA11" s="5">
        <f>SUMPRODUCT((Y$8:Y$11=Y11)*(Z$8:Z$11=Z11)*(T$8:T$11&gt;T11))</f>
        <v>0</v>
      </c>
      <c r="AB11" s="5">
        <f>SUMPRODUCT((Y$8:Y$11=Y11)*(Z$8:Z$11=Z11)*(T$8:T$11=T11)*(X$8:X$11&gt;X11))</f>
        <v>3</v>
      </c>
      <c r="AC11" s="5">
        <v>4</v>
      </c>
      <c r="AD11" s="5" t="str">
        <f>VLOOKUP(AC11,$A$8:$B$11,2,FALSE)</f>
        <v>Trabzonspor</v>
      </c>
      <c r="AE11" s="5">
        <f>VLOOKUP($AD11,$B$8:$W$11,22,FALSE)</f>
        <v>0</v>
      </c>
      <c r="AF11" s="5" t="str">
        <f>IF(AND(AE11=AE10,AE10=AE9),AD11,"")</f>
        <v>Trabzonspor</v>
      </c>
      <c r="AG11" s="5">
        <f>SUMPRODUCT(($BK$4:$BK$99='Dummy Table'!$AF11)*($BL$4:$BL$99&gt;$BM$4:$BM$99))</f>
        <v>0</v>
      </c>
      <c r="AH11" s="5">
        <f>SUMPRODUCT(($BK$4:$BK$99='Dummy Table'!$AF11)*($BL$4:$BL$99=$BM$4:$BM$99))</f>
        <v>0</v>
      </c>
      <c r="AI11" s="5">
        <f>SUMPRODUCT(($BK$4:$BK$99='Dummy Table'!$AF11)*($BL$4:$BL$99&lt;$BM$4:$BM$99))</f>
        <v>0</v>
      </c>
      <c r="AJ11" s="5">
        <f>SUMIF($BK$4:$BK$99,'Dummy Table'!$AF11,$BL$4:$BL$99)</f>
        <v>0</v>
      </c>
      <c r="AK11" s="5">
        <f>SUMIF($BK$4:$BK$99,'Dummy Table'!$AF11,$BM$4:$BM$99)</f>
        <v>0</v>
      </c>
      <c r="AL11" s="5">
        <f t="shared" si="20"/>
        <v>0</v>
      </c>
      <c r="AM11" s="5">
        <f t="shared" si="21"/>
        <v>0</v>
      </c>
      <c r="AN11" s="5">
        <f>SUMPRODUCT(($BN$4:$BN$99='Dummy Table'!$AF11)*($BL$4:$BL$99&lt;$BM$4:$BM$99))</f>
        <v>0</v>
      </c>
      <c r="AO11" s="5">
        <f>SUMPRODUCT(($BN$4:$BN$99='Dummy Table'!$AF11)*($BL$4:$BL$99=$BM$4:$BM$99))</f>
        <v>0</v>
      </c>
      <c r="AP11" s="5">
        <f>SUMPRODUCT(($BN$4:$BN$99='Dummy Table'!$AF11)*($BL$4:$BL$99&gt;$BM$4:$BM$99))</f>
        <v>0</v>
      </c>
      <c r="AQ11" s="5">
        <f>SUMIF($BN$4:$BN$99,'Dummy Table'!$AF11,$BM$4:$BM$99)</f>
        <v>0</v>
      </c>
      <c r="AR11" s="5">
        <f>SUMIF($BN$4:$BN$99,'Dummy Table'!$AF11,$BL$4:$BL$99)</f>
        <v>0</v>
      </c>
      <c r="AS11" s="5">
        <f t="shared" si="22"/>
        <v>0</v>
      </c>
      <c r="AT11" s="5">
        <f t="shared" si="23"/>
        <v>0</v>
      </c>
      <c r="AU11" s="5">
        <f t="shared" si="24"/>
        <v>0</v>
      </c>
      <c r="AV11" s="5">
        <f t="shared" si="25"/>
        <v>0</v>
      </c>
      <c r="AW11" s="5">
        <f t="shared" si="26"/>
        <v>0</v>
      </c>
      <c r="AX11" s="5">
        <f t="shared" si="27"/>
        <v>0</v>
      </c>
      <c r="AY11" s="5">
        <f t="shared" si="28"/>
        <v>0</v>
      </c>
      <c r="AZ11" s="5">
        <f t="shared" si="29"/>
        <v>0</v>
      </c>
      <c r="BA11" s="5">
        <f t="shared" si="41"/>
        <v>0</v>
      </c>
      <c r="BB11" s="5">
        <f t="shared" si="30"/>
        <v>0</v>
      </c>
      <c r="BC11" s="5">
        <f t="shared" si="31"/>
        <v>0</v>
      </c>
      <c r="BD11" s="5">
        <f t="shared" si="32"/>
        <v>21</v>
      </c>
      <c r="BE11" s="75">
        <f>RANK(BA11,BA$8:BA$11)</f>
        <v>1</v>
      </c>
      <c r="BF11" s="75">
        <f>SUMPRODUCT((BA$8:BA$11=BA11)*(AZ$8:AZ$11&gt;AZ11))</f>
        <v>0</v>
      </c>
      <c r="BG11" s="75">
        <f>SUMPRODUCT((BA$8:BA$11=BA11)*(BE$8:BE$11=BE11)*(AZ$8:AZ$11=AZ11)*(AQ$8:AQ$11&gt;AQ11))</f>
        <v>0</v>
      </c>
      <c r="BH11" s="75">
        <f>SUMPRODUCT((BA$8:BA$11=BA11)*(BE$8:BE$11=BE11)*(AZ$8:AZ$11=AZ11)*(AQ$8:AQ$11=AQ11)*(BB$8:BB$11&gt;BB11))</f>
        <v>0</v>
      </c>
      <c r="BI11" s="75">
        <f>SUMPRODUCT((BA$8:BA$11=BA11)*(BE$8:BE$11=BE11)*(AZ$8:AZ$11=AZ11)*(AQ$8:AQ$11=AQ11)*(BB$8:BB$11=BB11)*(BC$8:BC$11&gt;BC11))</f>
        <v>0</v>
      </c>
      <c r="BJ11" s="75">
        <f>SUMPRODUCT((BA$8:BA$11=BA11)*(BE$8:BE$11=BE11)*(AZ$8:AZ$11=AZ11)*(AQ$8:AQ$11=AQ11)*(BB$8:BB$11=BB11)*(BC$8:BC$11=BC11)*(BD$8:BD$11&gt;BD11))</f>
        <v>3</v>
      </c>
      <c r="BK11" s="5" t="str">
        <f>IF(AND(COUNTIF($AF$4:$AF$35,Gruppenphase!G20)&gt;0,COUNTIF($AF$4:$AF$35,Gruppenphase!M20)&gt;0,Gruppenphase!I20&lt;&gt;"",Gruppenphase!K20&lt;&gt;""),Gruppenphase!G20,"")</f>
        <v/>
      </c>
      <c r="BL11" s="5" t="str">
        <f>IF($BK11&lt;&gt;"",Gruppenphase!I20,"")</f>
        <v/>
      </c>
      <c r="BM11" s="5" t="str">
        <f>IF($BK11&lt;&gt;"",Gruppenphase!K20,"")</f>
        <v/>
      </c>
      <c r="BN11" s="5" t="str">
        <f>IF($BK11&lt;&gt;"",Gruppenphase!M20,"")</f>
        <v/>
      </c>
      <c r="BO11" s="5">
        <f t="shared" si="2"/>
        <v>4</v>
      </c>
      <c r="BP11" s="5" t="str">
        <f t="shared" si="33"/>
        <v>Trabzonspor</v>
      </c>
      <c r="BQ11" s="5">
        <f>VLOOKUP($AD11,$B$8:$W$11,22,FALSE)</f>
        <v>0</v>
      </c>
      <c r="BR11" s="5" t="str">
        <f>IF(BR10&lt;&gt;"",AD11,"")</f>
        <v/>
      </c>
      <c r="BS11" s="5">
        <f>SUMPRODUCT(($BK$4:$BK$99='Dummy Table'!$AF11)*($BL$4:$BL$99&gt;$BM$4:$BM$99))</f>
        <v>0</v>
      </c>
      <c r="BT11" s="5">
        <f>SUMPRODUCT(($BK$4:$BK$99='Dummy Table'!$AF11)*($BL$4:$BL$99=$BM$4:$BM$99))</f>
        <v>0</v>
      </c>
      <c r="BU11" s="5">
        <f>SUMPRODUCT(($BK$4:$BK$99='Dummy Table'!$AF11)*($BL$4:$BL$99&lt;$BM$4:$BM$99))</f>
        <v>0</v>
      </c>
      <c r="BV11" s="5">
        <f>SUMIF($BK$4:$BK$99,'Dummy Table'!$AF11,$BL$4:$BL$99)</f>
        <v>0</v>
      </c>
      <c r="BW11" s="5">
        <f>SUMIF($BK$4:$BK$99,'Dummy Table'!$AF11,$BM$4:$BM$99)</f>
        <v>0</v>
      </c>
      <c r="BX11" s="5">
        <f t="shared" si="34"/>
        <v>0</v>
      </c>
      <c r="BY11" s="5" t="str">
        <f t="shared" si="35"/>
        <v/>
      </c>
      <c r="BZ11" s="5">
        <f>SUMPRODUCT(($BN$4:$BN$99='Dummy Table'!$AF11)*($BL$4:$BL$99&lt;$BM$4:$BM$99))</f>
        <v>0</v>
      </c>
      <c r="CA11" s="5">
        <f>SUMPRODUCT(($BN$4:$BN$99='Dummy Table'!$AF11)*($BL$4:$BL$99=$BM$4:$BM$99))</f>
        <v>0</v>
      </c>
      <c r="CB11" s="5">
        <f>SUMPRODUCT(($BN$4:$BN$99='Dummy Table'!$AF11)*($BL$4:$BL$99&gt;$BM$4:$BM$99))</f>
        <v>0</v>
      </c>
      <c r="CC11" s="5">
        <f>SUMIF($BN$4:$BN$99,'Dummy Table'!$AF11,$BM$4:$BM$99)</f>
        <v>0</v>
      </c>
      <c r="CD11" s="5">
        <f>SUMIF($BN$4:$BN$99,'Dummy Table'!$AF11,$BL$4:$BL$99)</f>
        <v>0</v>
      </c>
      <c r="CE11" s="5">
        <f t="shared" si="36"/>
        <v>0</v>
      </c>
      <c r="CF11" s="5" t="str">
        <f t="shared" si="37"/>
        <v/>
      </c>
      <c r="CG11" s="5">
        <f t="shared" si="38"/>
        <v>0</v>
      </c>
      <c r="CH11" s="5">
        <f t="shared" si="3"/>
        <v>0</v>
      </c>
      <c r="CI11" s="5">
        <f t="shared" si="4"/>
        <v>0</v>
      </c>
      <c r="CJ11" s="5">
        <f t="shared" si="5"/>
        <v>0</v>
      </c>
      <c r="CK11" s="5">
        <f t="shared" si="6"/>
        <v>0</v>
      </c>
      <c r="CL11" s="5">
        <f t="shared" si="7"/>
        <v>0</v>
      </c>
      <c r="CM11" s="5">
        <f t="shared" si="42"/>
        <v>-1</v>
      </c>
      <c r="CN11" s="5">
        <v>8</v>
      </c>
      <c r="CO11" s="5">
        <f>RANK(CM11,CM$8:CM$11)</f>
        <v>1</v>
      </c>
      <c r="CP11" s="5">
        <f>SUMPRODUCT((CM$8:CM$11=CM11)*(CO$8:CO$11=CO11)*(CC$8:CC$11&gt;CC11))</f>
        <v>0</v>
      </c>
      <c r="CQ11" s="5">
        <f>SUMPRODUCT((CM$8:CM$11=CM11)*(CL$8:CL$11&gt;CL11))</f>
        <v>0</v>
      </c>
      <c r="CR11" s="5">
        <f>SUMPRODUCT((CO$8:CO$11=CO11)*(CQ$8:CQ$11=CQ11)*(CJ$8:CJ$11&gt;CJ11))</f>
        <v>0</v>
      </c>
      <c r="CS11" s="5">
        <f>SUMPRODUCT((CO$8:CO$11=CO11)*(CQ$8:CQ$11=CQ11)*(CJ$8:CJ$11=CJ11)*(CN$8:CN$11&gt;CN11))</f>
        <v>0</v>
      </c>
      <c r="CT11" s="5" t="str">
        <f>IF(AND(COUNTIF($AF$4:$AF$35,Gruppenphase!$G20)&gt;0,COUNTIF($AF$4:$AF$35,Gruppenphase!$M20)&gt;0),Gruppenphase!$G20,"")</f>
        <v>Viktoria Plzeň</v>
      </c>
      <c r="CU11" s="5" t="str">
        <f>IF($BK11&lt;&gt;"",Gruppenphase!$I20,"")</f>
        <v/>
      </c>
      <c r="CV11" s="5" t="str">
        <f>IF($BK11&lt;&gt;"",Gruppenphase!$K20,"")</f>
        <v/>
      </c>
      <c r="CW11" s="5" t="str">
        <f>IF($BK11&lt;&gt;"",Gruppenphase!$M20,"")</f>
        <v/>
      </c>
      <c r="CX11" s="5" t="str">
        <f t="shared" si="39"/>
        <v/>
      </c>
      <c r="CY11" s="5" t="str">
        <f t="shared" si="40"/>
        <v/>
      </c>
      <c r="CZ11" s="5">
        <v>4</v>
      </c>
      <c r="DA11" s="5" t="str">
        <f t="shared" si="43"/>
        <v/>
      </c>
      <c r="DB11" s="5">
        <f>IF(AND(DA11="",DA10="",DA9="",DA8=""),4,IF(AND(DA11="",DA10="",DA9=""),3,IF(AND(DA9&lt;&gt;"",DA10="",DA11=""),2,IF(AND(DA9&lt;&gt;"",DA10&lt;&gt;"",DA11=""),1,""))))</f>
        <v>4</v>
      </c>
      <c r="DC11" s="5" t="str">
        <f>VLOOKUP(DB11,$BO$8:$BP$11,2,FALSE)</f>
        <v>Trabzonspor</v>
      </c>
      <c r="DD11" s="5">
        <v>4</v>
      </c>
      <c r="DE11" s="5" t="str">
        <f>IF(CY11&lt;&gt;"",IF(CX10&lt;CX11,CY11,CY10),IF(DC11&lt;&gt;"",DC11,DA11))</f>
        <v>Trabzonspor</v>
      </c>
    </row>
    <row r="12" spans="1:109" x14ac:dyDescent="0.2">
      <c r="A12" s="5">
        <f t="shared" si="8"/>
        <v>1</v>
      </c>
      <c r="B12" s="5" t="str">
        <f>'Club Namen'!B11</f>
        <v>Manchester United</v>
      </c>
      <c r="C12" s="5">
        <f>SUMPRODUCT((Gruppenphase!$I$13:$I$108&lt;&gt;"")*(Gruppenphase!$K$13:$K$108&lt;&gt;"")*(Gruppenphase!$G$13:$G$108='Dummy Table'!$B12)*(Gruppenphase!$I$13:$I$108&gt;Gruppenphase!$K$13:$K$108))</f>
        <v>0</v>
      </c>
      <c r="D12" s="5">
        <f>SUMPRODUCT((Gruppenphase!$I$13:$I$108&lt;&gt;"")*(Gruppenphase!$K$13:$K$108&lt;&gt;"")*(Gruppenphase!$G$13:$G$108='Dummy Table'!$B12)*(Gruppenphase!$I$13:$I$108=Gruppenphase!$K$13:$K$108))</f>
        <v>0</v>
      </c>
      <c r="E12" s="5">
        <f>SUMPRODUCT((Gruppenphase!$I$13:$I$108&lt;&gt;"")*(Gruppenphase!$K$13:$K$108&lt;&gt;"")*(Gruppenphase!$G$13:$G$108='Dummy Table'!$B12)*(Gruppenphase!$I$13:$I$108&lt;Gruppenphase!$K$13:$K$108))</f>
        <v>0</v>
      </c>
      <c r="F12" s="5">
        <f>SUMIF(Gruppenphase!$G$13:$G$108,'Dummy Table'!$B12,Gruppenphase!$I$13:$I$108)</f>
        <v>0</v>
      </c>
      <c r="G12" s="5">
        <f>SUMIF(Gruppenphase!$G$13:$G$108,'Dummy Table'!$B12,Gruppenphase!$K$13:$K$108)</f>
        <v>0</v>
      </c>
      <c r="H12" s="5">
        <f t="shared" si="9"/>
        <v>0</v>
      </c>
      <c r="I12" s="5">
        <f t="shared" si="10"/>
        <v>0</v>
      </c>
      <c r="J12" s="5">
        <f>SUMPRODUCT((Gruppenphase!$I$13:$I$108&lt;&gt;"")*(Gruppenphase!$K$13:$K$108&lt;&gt;"")*(Gruppenphase!$M$13:$M$108='Dummy Table'!$B12)*(Gruppenphase!$I$13:$I$108&lt;Gruppenphase!$K$13:$K$108))</f>
        <v>0</v>
      </c>
      <c r="K12" s="5">
        <f>SUMPRODUCT((Gruppenphase!$I$13:$I$108&lt;&gt;"")*(Gruppenphase!$K$13:$K$108&lt;&gt;"")*(Gruppenphase!$M$13:$M$108='Dummy Table'!$B12)*(Gruppenphase!$I$13:$I$108=Gruppenphase!$K$13:$K$108))</f>
        <v>0</v>
      </c>
      <c r="L12" s="5">
        <f>SUMPRODUCT((Gruppenphase!$I$13:$I$108&lt;&gt;"")*(Gruppenphase!$K$13:$K$108&lt;&gt;"")*(Gruppenphase!$M$13:$M$108='Dummy Table'!$B12)*(Gruppenphase!$I$13:$I$108&gt;Gruppenphase!$K$13:$K$108))</f>
        <v>0</v>
      </c>
      <c r="M12" s="5">
        <f>SUMIF(Gruppenphase!$M$13:$M$108,'Dummy Table'!$B12,Gruppenphase!$K$13:$K$108)</f>
        <v>0</v>
      </c>
      <c r="N12" s="5">
        <f>SUMIF(Gruppenphase!$M$13:$M$108,'Dummy Table'!$B12,Gruppenphase!$I$13:$I$108)</f>
        <v>0</v>
      </c>
      <c r="O12" s="5">
        <f t="shared" si="11"/>
        <v>0</v>
      </c>
      <c r="P12" s="5">
        <f t="shared" si="12"/>
        <v>0</v>
      </c>
      <c r="Q12" s="5">
        <f t="shared" si="13"/>
        <v>0</v>
      </c>
      <c r="R12" s="5">
        <f t="shared" si="14"/>
        <v>0</v>
      </c>
      <c r="S12" s="5">
        <f t="shared" si="15"/>
        <v>0</v>
      </c>
      <c r="T12" s="5">
        <f t="shared" si="16"/>
        <v>0</v>
      </c>
      <c r="U12" s="5">
        <f t="shared" si="17"/>
        <v>0</v>
      </c>
      <c r="V12" s="5">
        <f t="shared" si="18"/>
        <v>0</v>
      </c>
      <c r="W12" s="5">
        <f t="shared" si="19"/>
        <v>0</v>
      </c>
      <c r="X12" s="5">
        <v>110</v>
      </c>
      <c r="Y12" s="5">
        <f>RANK(W12,W$12:W$15)</f>
        <v>1</v>
      </c>
      <c r="Z12" s="5">
        <f>SUMPRODUCT((W$12:W$15=W12)*(V$12:V$15&gt;V12))</f>
        <v>0</v>
      </c>
      <c r="AA12" s="5">
        <f>SUMPRODUCT((Y$12:Y$15=Y12)*(Z$12:Z$15=Z12)*(T$12:T$15&gt;T12))</f>
        <v>0</v>
      </c>
      <c r="AB12" s="5">
        <f>SUMPRODUCT((Y$12:Y$15=Y12)*(Z$12:Z$15=Z12)*(T$12:T$15=T12)*(X$12:X$15&gt;X12))</f>
        <v>0</v>
      </c>
      <c r="AC12" s="5">
        <v>1</v>
      </c>
      <c r="AD12" s="5" t="str">
        <f>VLOOKUP(AC12,$A$12:$B$15,2,FALSE)</f>
        <v>Manchester United</v>
      </c>
      <c r="AE12" s="5">
        <f>VLOOKUP($AD12,$B$12:$W$15,22,FALSE)</f>
        <v>0</v>
      </c>
      <c r="AF12" s="5" t="str">
        <f>IF(AE12=AE13,AD12,"")</f>
        <v>Manchester United</v>
      </c>
      <c r="AG12" s="5">
        <f>SUMPRODUCT(($BK$4:$BK$99='Dummy Table'!$AF12)*($BL$4:$BL$99&gt;$BM$4:$BM$99))</f>
        <v>0</v>
      </c>
      <c r="AH12" s="5">
        <f>SUMPRODUCT(($BK$4:$BK$99='Dummy Table'!$AF12)*($BL$4:$BL$99=$BM$4:$BM$99))</f>
        <v>0</v>
      </c>
      <c r="AI12" s="5">
        <f>SUMPRODUCT(($BK$4:$BK$99='Dummy Table'!$AF12)*($BL$4:$BL$99&lt;$BM$4:$BM$99))</f>
        <v>0</v>
      </c>
      <c r="AJ12" s="5">
        <f>SUMIF($BK$4:$BK$99,'Dummy Table'!$AF12,$BL$4:$BL$99)</f>
        <v>0</v>
      </c>
      <c r="AK12" s="5">
        <f>SUMIF($BK$4:$BK$99,'Dummy Table'!$AF12,$BM$4:$BM$99)</f>
        <v>0</v>
      </c>
      <c r="AL12" s="5">
        <f t="shared" si="20"/>
        <v>0</v>
      </c>
      <c r="AM12" s="5">
        <f t="shared" si="21"/>
        <v>0</v>
      </c>
      <c r="AN12" s="5">
        <f>SUMPRODUCT(($BN$4:$BN$99='Dummy Table'!$AF12)*($BL$4:$BL$99&lt;$BM$4:$BM$99))</f>
        <v>0</v>
      </c>
      <c r="AO12" s="5">
        <f>SUMPRODUCT(($BN$4:$BN$99='Dummy Table'!$AF12)*($BL$4:$BL$99=$BM$4:$BM$99))</f>
        <v>0</v>
      </c>
      <c r="AP12" s="5">
        <f>SUMPRODUCT(($BN$4:$BN$99='Dummy Table'!$AF12)*($BL$4:$BL$99&gt;$BM$4:$BM$99))</f>
        <v>0</v>
      </c>
      <c r="AQ12" s="5">
        <f>SUMIF($BN$4:$BN$99,'Dummy Table'!$AF12,$BM$4:$BM$99)</f>
        <v>0</v>
      </c>
      <c r="AR12" s="5">
        <f>SUMIF($BN$4:$BN$99,'Dummy Table'!$AF12,$BL$4:$BL$99)</f>
        <v>0</v>
      </c>
      <c r="AS12" s="5">
        <f t="shared" si="22"/>
        <v>0</v>
      </c>
      <c r="AT12" s="5">
        <f t="shared" si="23"/>
        <v>0</v>
      </c>
      <c r="AU12" s="5">
        <f t="shared" si="24"/>
        <v>0</v>
      </c>
      <c r="AV12" s="5">
        <f t="shared" si="25"/>
        <v>0</v>
      </c>
      <c r="AW12" s="5">
        <f t="shared" si="26"/>
        <v>0</v>
      </c>
      <c r="AX12" s="5">
        <f t="shared" si="27"/>
        <v>0</v>
      </c>
      <c r="AY12" s="5">
        <f t="shared" si="28"/>
        <v>0</v>
      </c>
      <c r="AZ12" s="5">
        <f t="shared" si="29"/>
        <v>0</v>
      </c>
      <c r="BA12" s="5">
        <f t="shared" si="41"/>
        <v>0</v>
      </c>
      <c r="BB12" s="5">
        <f t="shared" si="30"/>
        <v>0</v>
      </c>
      <c r="BC12" s="5">
        <f t="shared" si="31"/>
        <v>0</v>
      </c>
      <c r="BD12" s="5">
        <f t="shared" si="32"/>
        <v>110</v>
      </c>
      <c r="BE12" s="75">
        <f>RANK(BA12,BA$12:BA$15)</f>
        <v>1</v>
      </c>
      <c r="BF12" s="75">
        <f>SUMPRODUCT((BA$12:BA$15=BA12)*(AZ$12:AZ$15&gt;AZ12))</f>
        <v>0</v>
      </c>
      <c r="BG12" s="75">
        <f>SUMPRODUCT((BA$12:BA$15=BA12)*(BE$12:BE$15=BE12)*(AZ$12:AZ$15=AZ12)*(AQ$12:AQ$15&gt;AQ12))</f>
        <v>0</v>
      </c>
      <c r="BH12" s="75">
        <f>SUMPRODUCT((BA$12:BA$15=BA12)*(BE$12:BE$15=BE12)*(AZ$12:AZ$15=AZ12)*(AQ$12:AQ$15=AQ12)*(BB$12:BB$15&gt;BB12))</f>
        <v>0</v>
      </c>
      <c r="BI12" s="75">
        <f>SUMPRODUCT((BA$12:BA$15=BA12)*(BE$12:BE$15=BE12)*(AZ$12:AZ$15=AZ12)*(AQ$12:AQ$15=AQ12)*(BB$12:BB$15=BB12)*(BC$12:BC$15&gt;BC12))</f>
        <v>0</v>
      </c>
      <c r="BJ12" s="75">
        <f>SUMPRODUCT((BA$12:BA$15=BA12)*(BE$12:BE$15=BE12)*(AZ$12:AZ$15=AZ12)*(AQ$12:AQ$15=AQ12)*(BB$12:BB$15=BB12)*(BC$12:BC$15=BC12)*(BD$12:BD$15&gt;BD12))</f>
        <v>0</v>
      </c>
      <c r="BK12" s="5" t="str">
        <f>IF(AND(COUNTIF($AF$4:$AF$35,Gruppenphase!G21)&gt;0,COUNTIF($AF$4:$AF$35,Gruppenphase!M21)&gt;0,Gruppenphase!I21&lt;&gt;"",Gruppenphase!K21&lt;&gt;""),Gruppenphase!G21,"")</f>
        <v/>
      </c>
      <c r="BL12" s="5" t="str">
        <f>IF($BK12&lt;&gt;"",Gruppenphase!I21,"")</f>
        <v/>
      </c>
      <c r="BM12" s="5" t="str">
        <f>IF($BK12&lt;&gt;"",Gruppenphase!K21,"")</f>
        <v/>
      </c>
      <c r="BN12" s="5" t="str">
        <f>IF($BK12&lt;&gt;"",Gruppenphase!M21,"")</f>
        <v/>
      </c>
      <c r="BO12" s="5">
        <f t="shared" si="2"/>
        <v>1</v>
      </c>
      <c r="BP12" s="5" t="str">
        <f t="shared" si="33"/>
        <v>Manchester United</v>
      </c>
      <c r="BQ12" s="5">
        <f>VLOOKUP($AD12,$B$12:$W$15,22,FALSE)</f>
        <v>0</v>
      </c>
      <c r="BS12" s="5">
        <f>SUMPRODUCT(($BK$4:$BK$99='Dummy Table'!$AF12)*($BL$4:$BL$99&gt;$BM$4:$BM$99))</f>
        <v>0</v>
      </c>
      <c r="BT12" s="5">
        <f>SUMPRODUCT(($BK$4:$BK$99='Dummy Table'!$AF12)*($BL$4:$BL$99=$BM$4:$BM$99))</f>
        <v>0</v>
      </c>
      <c r="BU12" s="5">
        <f>SUMPRODUCT(($BK$4:$BK$99='Dummy Table'!$AF12)*($BL$4:$BL$99&lt;$BM$4:$BM$99))</f>
        <v>0</v>
      </c>
      <c r="BV12" s="5">
        <f>SUMIF($BK$4:$BK$99,'Dummy Table'!$AF12,$BL$4:$BL$99)</f>
        <v>0</v>
      </c>
      <c r="BW12" s="5">
        <f>SUMIF($BK$4:$BK$99,'Dummy Table'!$AF12,$BM$4:$BM$99)</f>
        <v>0</v>
      </c>
      <c r="BX12" s="5">
        <f t="shared" si="34"/>
        <v>0</v>
      </c>
      <c r="BY12" s="5" t="str">
        <f t="shared" si="35"/>
        <v/>
      </c>
      <c r="BZ12" s="5">
        <f>SUMPRODUCT(($BN$4:$BN$99='Dummy Table'!$AF12)*($BL$4:$BL$99&lt;$BM$4:$BM$99))</f>
        <v>0</v>
      </c>
      <c r="CA12" s="5">
        <f>SUMPRODUCT(($BN$4:$BN$99='Dummy Table'!$AF12)*($BL$4:$BL$99=$BM$4:$BM$99))</f>
        <v>0</v>
      </c>
      <c r="CB12" s="5">
        <f>SUMPRODUCT(($BN$4:$BN$99='Dummy Table'!$AF12)*($BL$4:$BL$99&gt;$BM$4:$BM$99))</f>
        <v>0</v>
      </c>
      <c r="CC12" s="5">
        <f>SUMIF($BN$4:$BN$99,'Dummy Table'!$AF12,$BM$4:$BM$99)</f>
        <v>0</v>
      </c>
      <c r="CD12" s="5">
        <f>SUMIF($BN$4:$BN$99,'Dummy Table'!$AF12,$BL$4:$BL$99)</f>
        <v>0</v>
      </c>
      <c r="CE12" s="5">
        <f t="shared" si="36"/>
        <v>0</v>
      </c>
      <c r="CF12" s="5" t="str">
        <f t="shared" si="37"/>
        <v/>
      </c>
      <c r="CG12" s="5">
        <f t="shared" si="38"/>
        <v>0</v>
      </c>
      <c r="CH12" s="5">
        <f t="shared" si="3"/>
        <v>0</v>
      </c>
      <c r="CI12" s="5">
        <f t="shared" si="4"/>
        <v>0</v>
      </c>
      <c r="CJ12" s="5">
        <f t="shared" si="5"/>
        <v>0</v>
      </c>
      <c r="CK12" s="5">
        <f t="shared" si="6"/>
        <v>0</v>
      </c>
      <c r="CL12" s="5">
        <f t="shared" si="7"/>
        <v>0</v>
      </c>
      <c r="CM12" s="5">
        <f t="shared" si="42"/>
        <v>-1</v>
      </c>
      <c r="CN12" s="5">
        <v>9</v>
      </c>
      <c r="CO12" s="5">
        <f>RANK(CM12,CM$12:CM$15)</f>
        <v>1</v>
      </c>
      <c r="CP12" s="5">
        <f>SUMPRODUCT((CM$12:CM$15=CM12)*(CO$12:CO$15=CO12)*(CC$12:CC$15&gt;CC12))</f>
        <v>0</v>
      </c>
      <c r="CQ12" s="5">
        <f>SUMPRODUCT((CM$12:CM$15=CM12)*(CL$12:CL$15&gt;CL12))</f>
        <v>0</v>
      </c>
      <c r="CR12" s="5">
        <f>SUMPRODUCT((CO$12:CO$15=CO12)*(CQ$12:CQ$15=CQ12)*(CJ$12:CJ$15&gt;CJ12))</f>
        <v>0</v>
      </c>
      <c r="CS12" s="5">
        <f>SUMPRODUCT((CO$12:CO$15=CO12)*(CQ$12:CQ$15=CQ12)*(CJ$12:CJ$15=CJ12)*(CN$12:CN$15&gt;CN12))</f>
        <v>3</v>
      </c>
      <c r="CT12" s="5" t="str">
        <f>IF(AND(COUNTIF($AF$4:$AF$35,Gruppenphase!$G21)&gt;0,COUNTIF($AF$4:$AF$35,Gruppenphase!$M21)&gt;0),Gruppenphase!$G21,"")</f>
        <v>Manchester City</v>
      </c>
      <c r="CU12" s="5" t="str">
        <f>IF($BK12&lt;&gt;"",Gruppenphase!$I21,"")</f>
        <v/>
      </c>
      <c r="CV12" s="5" t="str">
        <f>IF($BK12&lt;&gt;"",Gruppenphase!$K21,"")</f>
        <v/>
      </c>
      <c r="CW12" s="5" t="str">
        <f>IF($BK12&lt;&gt;"",Gruppenphase!$M21,"")</f>
        <v/>
      </c>
      <c r="CX12" s="5" t="str">
        <f t="shared" si="39"/>
        <v/>
      </c>
      <c r="CY12" s="5" t="str">
        <f t="shared" si="40"/>
        <v/>
      </c>
      <c r="CZ12" s="5">
        <v>1</v>
      </c>
      <c r="DA12" s="5" t="str">
        <f t="shared" si="43"/>
        <v/>
      </c>
      <c r="DB12" s="5">
        <f>IF(DA12="",CZ12,"")</f>
        <v>1</v>
      </c>
      <c r="DC12" s="5" t="str">
        <f>VLOOKUP(DB12,$BO$12:$BP$15,2,FALSE)</f>
        <v>Manchester United</v>
      </c>
      <c r="DD12" s="5">
        <v>1</v>
      </c>
      <c r="DE12" s="5" t="str">
        <f>IF(DA12="",DC12,DA12)</f>
        <v>Manchester United</v>
      </c>
    </row>
    <row r="13" spans="1:109" x14ac:dyDescent="0.2">
      <c r="A13" s="5">
        <f t="shared" si="8"/>
        <v>2</v>
      </c>
      <c r="B13" s="5" t="str">
        <f>'Club Namen'!B12</f>
        <v>Benfica</v>
      </c>
      <c r="C13" s="5">
        <f>SUMPRODUCT((Gruppenphase!$I$13:$I$108&lt;&gt;"")*(Gruppenphase!$K$13:$K$108&lt;&gt;"")*(Gruppenphase!$G$13:$G$108='Dummy Table'!$B13)*(Gruppenphase!$I$13:$I$108&gt;Gruppenphase!$K$13:$K$108))</f>
        <v>0</v>
      </c>
      <c r="D13" s="5">
        <f>SUMPRODUCT((Gruppenphase!$I$13:$I$108&lt;&gt;"")*(Gruppenphase!$K$13:$K$108&lt;&gt;"")*(Gruppenphase!$G$13:$G$108='Dummy Table'!$B13)*(Gruppenphase!$I$13:$I$108=Gruppenphase!$K$13:$K$108))</f>
        <v>0</v>
      </c>
      <c r="E13" s="5">
        <f>SUMPRODUCT((Gruppenphase!$I$13:$I$108&lt;&gt;"")*(Gruppenphase!$K$13:$K$108&lt;&gt;"")*(Gruppenphase!$G$13:$G$108='Dummy Table'!$B13)*(Gruppenphase!$I$13:$I$108&lt;Gruppenphase!$K$13:$K$108))</f>
        <v>0</v>
      </c>
      <c r="F13" s="5">
        <f>SUMIF(Gruppenphase!$G$13:$G$108,'Dummy Table'!$B13,Gruppenphase!$I$13:$I$108)</f>
        <v>0</v>
      </c>
      <c r="G13" s="5">
        <f>SUMIF(Gruppenphase!$G$13:$G$108,'Dummy Table'!$B13,Gruppenphase!$K$13:$K$108)</f>
        <v>0</v>
      </c>
      <c r="H13" s="5">
        <f t="shared" si="9"/>
        <v>0</v>
      </c>
      <c r="I13" s="5">
        <f t="shared" si="10"/>
        <v>0</v>
      </c>
      <c r="J13" s="5">
        <f>SUMPRODUCT((Gruppenphase!$I$13:$I$108&lt;&gt;"")*(Gruppenphase!$K$13:$K$108&lt;&gt;"")*(Gruppenphase!$M$13:$M$108='Dummy Table'!$B13)*(Gruppenphase!$I$13:$I$108&lt;Gruppenphase!$K$13:$K$108))</f>
        <v>0</v>
      </c>
      <c r="K13" s="5">
        <f>SUMPRODUCT((Gruppenphase!$I$13:$I$108&lt;&gt;"")*(Gruppenphase!$K$13:$K$108&lt;&gt;"")*(Gruppenphase!$M$13:$M$108='Dummy Table'!$B13)*(Gruppenphase!$I$13:$I$108=Gruppenphase!$K$13:$K$108))</f>
        <v>0</v>
      </c>
      <c r="L13" s="5">
        <f>SUMPRODUCT((Gruppenphase!$I$13:$I$108&lt;&gt;"")*(Gruppenphase!$K$13:$K$108&lt;&gt;"")*(Gruppenphase!$M$13:$M$108='Dummy Table'!$B13)*(Gruppenphase!$I$13:$I$108&gt;Gruppenphase!$K$13:$K$108))</f>
        <v>0</v>
      </c>
      <c r="M13" s="5">
        <f>SUMIF(Gruppenphase!$M$13:$M$108,'Dummy Table'!$B13,Gruppenphase!$K$13:$K$108)</f>
        <v>0</v>
      </c>
      <c r="N13" s="5">
        <f>SUMIF(Gruppenphase!$M$13:$M$108,'Dummy Table'!$B13,Gruppenphase!$I$13:$I$108)</f>
        <v>0</v>
      </c>
      <c r="O13" s="5">
        <f t="shared" si="11"/>
        <v>0</v>
      </c>
      <c r="P13" s="5">
        <f t="shared" si="12"/>
        <v>0</v>
      </c>
      <c r="Q13" s="5">
        <f t="shared" si="13"/>
        <v>0</v>
      </c>
      <c r="R13" s="5">
        <f t="shared" si="14"/>
        <v>0</v>
      </c>
      <c r="S13" s="5">
        <f t="shared" si="15"/>
        <v>0</v>
      </c>
      <c r="T13" s="5">
        <f t="shared" si="16"/>
        <v>0</v>
      </c>
      <c r="U13" s="5">
        <f t="shared" si="17"/>
        <v>0</v>
      </c>
      <c r="V13" s="5">
        <f t="shared" si="18"/>
        <v>0</v>
      </c>
      <c r="W13" s="5">
        <f t="shared" si="19"/>
        <v>0</v>
      </c>
      <c r="X13" s="5">
        <v>78</v>
      </c>
      <c r="Y13" s="5">
        <f>RANK(W13,W$12:W$15)</f>
        <v>1</v>
      </c>
      <c r="Z13" s="5">
        <f>SUMPRODUCT((W$12:W$15=W13)*(V$12:V$15&gt;V13))</f>
        <v>0</v>
      </c>
      <c r="AA13" s="5">
        <f>SUMPRODUCT((Y$12:Y$15=Y13)*(Z$12:Z$15=Z13)*(T$12:T$15&gt;T13))</f>
        <v>0</v>
      </c>
      <c r="AB13" s="5">
        <f>SUMPRODUCT((Y$12:Y$15=Y13)*(Z$12:Z$15=Z13)*(T$12:T$15=T13)*(X$12:X$15&gt;X13))</f>
        <v>1</v>
      </c>
      <c r="AC13" s="5">
        <v>2</v>
      </c>
      <c r="AD13" s="5" t="str">
        <f>VLOOKUP(AC13,$A$12:$B$15,2,FALSE)</f>
        <v>Benfica</v>
      </c>
      <c r="AE13" s="5">
        <f>VLOOKUP($AD13,$B$12:$W$15,22,FALSE)</f>
        <v>0</v>
      </c>
      <c r="AF13" s="5" t="str">
        <f>IF(OR(AE13=AE12,AE13=AE14),AD13,"")</f>
        <v>Benfica</v>
      </c>
      <c r="AG13" s="5">
        <f>SUMPRODUCT(($BK$4:$BK$99='Dummy Table'!$AF13)*($BL$4:$BL$99&gt;$BM$4:$BM$99))</f>
        <v>0</v>
      </c>
      <c r="AH13" s="5">
        <f>SUMPRODUCT(($BK$4:$BK$99='Dummy Table'!$AF13)*($BL$4:$BL$99=$BM$4:$BM$99))</f>
        <v>0</v>
      </c>
      <c r="AI13" s="5">
        <f>SUMPRODUCT(($BK$4:$BK$99='Dummy Table'!$AF13)*($BL$4:$BL$99&lt;$BM$4:$BM$99))</f>
        <v>0</v>
      </c>
      <c r="AJ13" s="5">
        <f>SUMIF($BK$4:$BK$99,'Dummy Table'!$AF13,$BL$4:$BL$99)</f>
        <v>0</v>
      </c>
      <c r="AK13" s="5">
        <f>SUMIF($BK$4:$BK$99,'Dummy Table'!$AF13,$BM$4:$BM$99)</f>
        <v>0</v>
      </c>
      <c r="AL13" s="5">
        <f t="shared" si="20"/>
        <v>0</v>
      </c>
      <c r="AM13" s="5">
        <f t="shared" si="21"/>
        <v>0</v>
      </c>
      <c r="AN13" s="5">
        <f>SUMPRODUCT(($BN$4:$BN$99='Dummy Table'!$AF13)*($BL$4:$BL$99&lt;$BM$4:$BM$99))</f>
        <v>0</v>
      </c>
      <c r="AO13" s="5">
        <f>SUMPRODUCT(($BN$4:$BN$99='Dummy Table'!$AF13)*($BL$4:$BL$99=$BM$4:$BM$99))</f>
        <v>0</v>
      </c>
      <c r="AP13" s="5">
        <f>SUMPRODUCT(($BN$4:$BN$99='Dummy Table'!$AF13)*($BL$4:$BL$99&gt;$BM$4:$BM$99))</f>
        <v>0</v>
      </c>
      <c r="AQ13" s="5">
        <f>SUMIF($BN$4:$BN$99,'Dummy Table'!$AF13,$BM$4:$BM$99)</f>
        <v>0</v>
      </c>
      <c r="AR13" s="5">
        <f>SUMIF($BN$4:$BN$99,'Dummy Table'!$AF13,$BL$4:$BL$99)</f>
        <v>0</v>
      </c>
      <c r="AS13" s="5">
        <f t="shared" si="22"/>
        <v>0</v>
      </c>
      <c r="AT13" s="5">
        <f t="shared" si="23"/>
        <v>0</v>
      </c>
      <c r="AU13" s="5">
        <f t="shared" si="24"/>
        <v>0</v>
      </c>
      <c r="AV13" s="5">
        <f t="shared" si="25"/>
        <v>0</v>
      </c>
      <c r="AW13" s="5">
        <f t="shared" si="26"/>
        <v>0</v>
      </c>
      <c r="AX13" s="5">
        <f t="shared" si="27"/>
        <v>0</v>
      </c>
      <c r="AY13" s="5">
        <f t="shared" si="28"/>
        <v>0</v>
      </c>
      <c r="AZ13" s="5">
        <f t="shared" si="29"/>
        <v>0</v>
      </c>
      <c r="BA13" s="5">
        <f t="shared" si="41"/>
        <v>0</v>
      </c>
      <c r="BB13" s="5">
        <f t="shared" si="30"/>
        <v>0</v>
      </c>
      <c r="BC13" s="5">
        <f t="shared" si="31"/>
        <v>0</v>
      </c>
      <c r="BD13" s="5">
        <f t="shared" si="32"/>
        <v>78</v>
      </c>
      <c r="BE13" s="75">
        <f>RANK(BA13,BA$12:BA$15)</f>
        <v>1</v>
      </c>
      <c r="BF13" s="75">
        <f>SUMPRODUCT((BA$12:BA$15=BA13)*(AZ$12:AZ$15&gt;AZ13))</f>
        <v>0</v>
      </c>
      <c r="BG13" s="75">
        <f>SUMPRODUCT((BA$12:BA$15=BA13)*(BE$12:BE$15=BE13)*(AZ$12:AZ$15=AZ13)*(AQ$12:AQ$15&gt;AQ13))</f>
        <v>0</v>
      </c>
      <c r="BH13" s="75">
        <f>SUMPRODUCT((BA$12:BA$15=BA13)*(BE$12:BE$15=BE13)*(AZ$12:AZ$15=AZ13)*(AQ$12:AQ$15=AQ13)*(BB$12:BB$15&gt;BB13))</f>
        <v>0</v>
      </c>
      <c r="BI13" s="75">
        <f>SUMPRODUCT((BA$12:BA$15=BA13)*(BE$12:BE$15=BE13)*(AZ$12:AZ$15=AZ13)*(AQ$12:AQ$15=AQ13)*(BB$12:BB$15=BB13)*(BC$12:BC$15&gt;BC13))</f>
        <v>0</v>
      </c>
      <c r="BJ13" s="75">
        <f>SUMPRODUCT((BA$12:BA$15=BA13)*(BE$12:BE$15=BE13)*(AZ$12:AZ$15=AZ13)*(AQ$12:AQ$15=AQ13)*(BB$12:BB$15=BB13)*(BC$12:BC$15=BC13)*(BD$12:BD$15&gt;BD13))</f>
        <v>1</v>
      </c>
      <c r="BK13" s="5" t="str">
        <f>IF(AND(COUNTIF($AF$4:$AF$35,Gruppenphase!G22)&gt;0,COUNTIF($AF$4:$AF$35,Gruppenphase!M22)&gt;0,Gruppenphase!I22&lt;&gt;"",Gruppenphase!K22&lt;&gt;""),Gruppenphase!G22,"")</f>
        <v/>
      </c>
      <c r="BL13" s="5" t="str">
        <f>IF($BK13&lt;&gt;"",Gruppenphase!I22,"")</f>
        <v/>
      </c>
      <c r="BM13" s="5" t="str">
        <f>IF($BK13&lt;&gt;"",Gruppenphase!K22,"")</f>
        <v/>
      </c>
      <c r="BN13" s="5" t="str">
        <f>IF($BK13&lt;&gt;"",Gruppenphase!M22,"")</f>
        <v/>
      </c>
      <c r="BO13" s="5">
        <f t="shared" si="2"/>
        <v>2</v>
      </c>
      <c r="BP13" s="5" t="str">
        <f t="shared" si="33"/>
        <v>Benfica</v>
      </c>
      <c r="BQ13" s="5">
        <f>VLOOKUP($AD13,$B$12:$W$15,22,FALSE)</f>
        <v>0</v>
      </c>
      <c r="BS13" s="5">
        <f>SUMPRODUCT(($BK$4:$BK$99='Dummy Table'!$AF13)*($BL$4:$BL$99&gt;$BM$4:$BM$99))</f>
        <v>0</v>
      </c>
      <c r="BT13" s="5">
        <f>SUMPRODUCT(($BK$4:$BK$99='Dummy Table'!$AF13)*($BL$4:$BL$99=$BM$4:$BM$99))</f>
        <v>0</v>
      </c>
      <c r="BU13" s="5">
        <f>SUMPRODUCT(($BK$4:$BK$99='Dummy Table'!$AF13)*($BL$4:$BL$99&lt;$BM$4:$BM$99))</f>
        <v>0</v>
      </c>
      <c r="BV13" s="5">
        <f>SUMIF($BK$4:$BK$99,'Dummy Table'!$AF13,$BL$4:$BL$99)</f>
        <v>0</v>
      </c>
      <c r="BW13" s="5">
        <f>SUMIF($BK$4:$BK$99,'Dummy Table'!$AF13,$BM$4:$BM$99)</f>
        <v>0</v>
      </c>
      <c r="BX13" s="5">
        <f t="shared" si="34"/>
        <v>0</v>
      </c>
      <c r="BY13" s="5" t="str">
        <f t="shared" si="35"/>
        <v/>
      </c>
      <c r="BZ13" s="5">
        <f>SUMPRODUCT(($BN$4:$BN$99='Dummy Table'!$AF13)*($BL$4:$BL$99&lt;$BM$4:$BM$99))</f>
        <v>0</v>
      </c>
      <c r="CA13" s="5">
        <f>SUMPRODUCT(($BN$4:$BN$99='Dummy Table'!$AF13)*($BL$4:$BL$99=$BM$4:$BM$99))</f>
        <v>0</v>
      </c>
      <c r="CB13" s="5">
        <f>SUMPRODUCT(($BN$4:$BN$99='Dummy Table'!$AF13)*($BL$4:$BL$99&gt;$BM$4:$BM$99))</f>
        <v>0</v>
      </c>
      <c r="CC13" s="5">
        <f>SUMIF($BN$4:$BN$99,'Dummy Table'!$AF13,$BM$4:$BM$99)</f>
        <v>0</v>
      </c>
      <c r="CD13" s="5">
        <f>SUMIF($BN$4:$BN$99,'Dummy Table'!$AF13,$BL$4:$BL$99)</f>
        <v>0</v>
      </c>
      <c r="CE13" s="5">
        <f t="shared" si="36"/>
        <v>0</v>
      </c>
      <c r="CF13" s="5" t="str">
        <f t="shared" si="37"/>
        <v/>
      </c>
      <c r="CG13" s="5">
        <f t="shared" si="38"/>
        <v>0</v>
      </c>
      <c r="CH13" s="5">
        <f t="shared" si="3"/>
        <v>0</v>
      </c>
      <c r="CI13" s="5">
        <f t="shared" si="4"/>
        <v>0</v>
      </c>
      <c r="CJ13" s="5">
        <f t="shared" si="5"/>
        <v>0</v>
      </c>
      <c r="CK13" s="5">
        <f t="shared" si="6"/>
        <v>0</v>
      </c>
      <c r="CL13" s="5">
        <f t="shared" si="7"/>
        <v>0</v>
      </c>
      <c r="CM13" s="5">
        <f t="shared" si="42"/>
        <v>-1</v>
      </c>
      <c r="CN13" s="5">
        <v>10</v>
      </c>
      <c r="CO13" s="5">
        <f>RANK(CM13,CM$12:CM$15)</f>
        <v>1</v>
      </c>
      <c r="CP13" s="5">
        <f>SUMPRODUCT((CM$12:CM$15=CM13)*(CO$12:CO$15=CO13)*(CC$12:CC$15&gt;CC13))</f>
        <v>0</v>
      </c>
      <c r="CQ13" s="5">
        <f>SUMPRODUCT((CM$12:CM$15=CM13)*(CL$12:CL$15&gt;CL13))</f>
        <v>0</v>
      </c>
      <c r="CR13" s="5">
        <f>SUMPRODUCT((CO$12:CO$15=CO13)*(CQ$12:CQ$15=CQ13)*(CJ$12:CJ$15&gt;CJ13))</f>
        <v>0</v>
      </c>
      <c r="CS13" s="5">
        <f>SUMPRODUCT((CO$12:CO$15=CO13)*(CQ$12:CQ$15=CQ13)*(CJ$12:CJ$15=CJ13)*(CN$12:CN$15&gt;CN13))</f>
        <v>2</v>
      </c>
      <c r="CT13" s="5" t="str">
        <f>IF(AND(COUNTIF($AF$4:$AF$35,Gruppenphase!$G22)&gt;0,COUNTIF($AF$4:$AF$35,Gruppenphase!$M22)&gt;0),Gruppenphase!$G22,"")</f>
        <v>Villarreal</v>
      </c>
      <c r="CU13" s="5" t="str">
        <f>IF($BK13&lt;&gt;"",Gruppenphase!$I22,"")</f>
        <v/>
      </c>
      <c r="CV13" s="5" t="str">
        <f>IF($BK13&lt;&gt;"",Gruppenphase!$K22,"")</f>
        <v/>
      </c>
      <c r="CW13" s="5" t="str">
        <f>IF($BK13&lt;&gt;"",Gruppenphase!$M22,"")</f>
        <v/>
      </c>
      <c r="CX13" s="5" t="str">
        <f t="shared" si="39"/>
        <v/>
      </c>
      <c r="CY13" s="5" t="str">
        <f t="shared" si="40"/>
        <v/>
      </c>
      <c r="CZ13" s="5">
        <v>2</v>
      </c>
      <c r="DA13" s="5" t="str">
        <f t="shared" si="43"/>
        <v/>
      </c>
      <c r="DB13" s="5">
        <f>IF(AND(DA13="",DA12=""),CZ13,IF(AND(DA12&lt;&gt;"",DA13=""),1,""))</f>
        <v>2</v>
      </c>
      <c r="DC13" s="5" t="str">
        <f>VLOOKUP(DB13,$BO$12:$BP$15,2,FALSE)</f>
        <v>Benfica</v>
      </c>
      <c r="DD13" s="5">
        <v>2</v>
      </c>
      <c r="DE13" s="5" t="str">
        <f>IF(DA13="",DC13,DA13)</f>
        <v>Benfica</v>
      </c>
    </row>
    <row r="14" spans="1:109" x14ac:dyDescent="0.2">
      <c r="A14" s="5">
        <f t="shared" si="8"/>
        <v>3</v>
      </c>
      <c r="B14" s="5" t="str">
        <f>'Club Namen'!B13</f>
        <v>Basel</v>
      </c>
      <c r="C14" s="5">
        <f>SUMPRODUCT((Gruppenphase!$I$13:$I$108&lt;&gt;"")*(Gruppenphase!$K$13:$K$108&lt;&gt;"")*(Gruppenphase!$G$13:$G$108='Dummy Table'!$B14)*(Gruppenphase!$I$13:$I$108&gt;Gruppenphase!$K$13:$K$108))</f>
        <v>0</v>
      </c>
      <c r="D14" s="5">
        <f>SUMPRODUCT((Gruppenphase!$I$13:$I$108&lt;&gt;"")*(Gruppenphase!$K$13:$K$108&lt;&gt;"")*(Gruppenphase!$G$13:$G$108='Dummy Table'!$B14)*(Gruppenphase!$I$13:$I$108=Gruppenphase!$K$13:$K$108))</f>
        <v>0</v>
      </c>
      <c r="E14" s="5">
        <f>SUMPRODUCT((Gruppenphase!$I$13:$I$108&lt;&gt;"")*(Gruppenphase!$K$13:$K$108&lt;&gt;"")*(Gruppenphase!$G$13:$G$108='Dummy Table'!$B14)*(Gruppenphase!$I$13:$I$108&lt;Gruppenphase!$K$13:$K$108))</f>
        <v>0</v>
      </c>
      <c r="F14" s="5">
        <f>SUMIF(Gruppenphase!$G$13:$G$108,'Dummy Table'!$B14,Gruppenphase!$I$13:$I$108)</f>
        <v>0</v>
      </c>
      <c r="G14" s="5">
        <f>SUMIF(Gruppenphase!$G$13:$G$108,'Dummy Table'!$B14,Gruppenphase!$K$13:$K$108)</f>
        <v>0</v>
      </c>
      <c r="H14" s="5">
        <f t="shared" si="9"/>
        <v>0</v>
      </c>
      <c r="I14" s="5">
        <f t="shared" si="10"/>
        <v>0</v>
      </c>
      <c r="J14" s="5">
        <f>SUMPRODUCT((Gruppenphase!$I$13:$I$108&lt;&gt;"")*(Gruppenphase!$K$13:$K$108&lt;&gt;"")*(Gruppenphase!$M$13:$M$108='Dummy Table'!$B14)*(Gruppenphase!$I$13:$I$108&lt;Gruppenphase!$K$13:$K$108))</f>
        <v>0</v>
      </c>
      <c r="K14" s="5">
        <f>SUMPRODUCT((Gruppenphase!$I$13:$I$108&lt;&gt;"")*(Gruppenphase!$K$13:$K$108&lt;&gt;"")*(Gruppenphase!$M$13:$M$108='Dummy Table'!$B14)*(Gruppenphase!$I$13:$I$108=Gruppenphase!$K$13:$K$108))</f>
        <v>0</v>
      </c>
      <c r="L14" s="5">
        <f>SUMPRODUCT((Gruppenphase!$I$13:$I$108&lt;&gt;"")*(Gruppenphase!$K$13:$K$108&lt;&gt;"")*(Gruppenphase!$M$13:$M$108='Dummy Table'!$B14)*(Gruppenphase!$I$13:$I$108&gt;Gruppenphase!$K$13:$K$108))</f>
        <v>0</v>
      </c>
      <c r="M14" s="5">
        <f>SUMIF(Gruppenphase!$M$13:$M$108,'Dummy Table'!$B14,Gruppenphase!$K$13:$K$108)</f>
        <v>0</v>
      </c>
      <c r="N14" s="5">
        <f>SUMIF(Gruppenphase!$M$13:$M$108,'Dummy Table'!$B14,Gruppenphase!$I$13:$I$108)</f>
        <v>0</v>
      </c>
      <c r="O14" s="5">
        <f t="shared" si="11"/>
        <v>0</v>
      </c>
      <c r="P14" s="5">
        <f t="shared" si="12"/>
        <v>0</v>
      </c>
      <c r="Q14" s="5">
        <f t="shared" si="13"/>
        <v>0</v>
      </c>
      <c r="R14" s="5">
        <f t="shared" si="14"/>
        <v>0</v>
      </c>
      <c r="S14" s="5">
        <f t="shared" si="15"/>
        <v>0</v>
      </c>
      <c r="T14" s="5">
        <f t="shared" si="16"/>
        <v>0</v>
      </c>
      <c r="U14" s="5">
        <f t="shared" si="17"/>
        <v>0</v>
      </c>
      <c r="V14" s="5">
        <f t="shared" si="18"/>
        <v>0</v>
      </c>
      <c r="W14" s="5">
        <f t="shared" si="19"/>
        <v>0</v>
      </c>
      <c r="X14" s="5">
        <v>48</v>
      </c>
      <c r="Y14" s="5">
        <f>RANK(W14,W$12:W$15)</f>
        <v>1</v>
      </c>
      <c r="Z14" s="5">
        <f>SUMPRODUCT((W$12:W$15=W14)*(V$12:V$15&gt;V14))</f>
        <v>0</v>
      </c>
      <c r="AA14" s="5">
        <f>SUMPRODUCT((Y$12:Y$15=Y14)*(Z$12:Z$15=Z14)*(T$12:T$15&gt;T14))</f>
        <v>0</v>
      </c>
      <c r="AB14" s="5">
        <f>SUMPRODUCT((Y$12:Y$15=Y14)*(Z$12:Z$15=Z14)*(T$12:T$15=T14)*(X$12:X$15&gt;X14))</f>
        <v>2</v>
      </c>
      <c r="AC14" s="5">
        <v>3</v>
      </c>
      <c r="AD14" s="5" t="str">
        <f>VLOOKUP(AC14,$A$12:$B$15,2,FALSE)</f>
        <v>Basel</v>
      </c>
      <c r="AE14" s="5">
        <f>VLOOKUP($AD14,$B$12:$W$15,22,FALSE)</f>
        <v>0</v>
      </c>
      <c r="AF14" s="5" t="str">
        <f>IF(AE14=AE13,AD14,"")</f>
        <v>Basel</v>
      </c>
      <c r="AG14" s="5">
        <f>SUMPRODUCT(($BK$4:$BK$99='Dummy Table'!$AF14)*($BL$4:$BL$99&gt;$BM$4:$BM$99))</f>
        <v>0</v>
      </c>
      <c r="AH14" s="5">
        <f>SUMPRODUCT(($BK$4:$BK$99='Dummy Table'!$AF14)*($BL$4:$BL$99=$BM$4:$BM$99))</f>
        <v>0</v>
      </c>
      <c r="AI14" s="5">
        <f>SUMPRODUCT(($BK$4:$BK$99='Dummy Table'!$AF14)*($BL$4:$BL$99&lt;$BM$4:$BM$99))</f>
        <v>0</v>
      </c>
      <c r="AJ14" s="5">
        <f>SUMIF($BK$4:$BK$99,'Dummy Table'!$AF14,$BL$4:$BL$99)</f>
        <v>0</v>
      </c>
      <c r="AK14" s="5">
        <f>SUMIF($BK$4:$BK$99,'Dummy Table'!$AF14,$BM$4:$BM$99)</f>
        <v>0</v>
      </c>
      <c r="AL14" s="5">
        <f t="shared" si="20"/>
        <v>0</v>
      </c>
      <c r="AM14" s="5">
        <f t="shared" si="21"/>
        <v>0</v>
      </c>
      <c r="AN14" s="5">
        <f>SUMPRODUCT(($BN$4:$BN$99='Dummy Table'!$AF14)*($BL$4:$BL$99&lt;$BM$4:$BM$99))</f>
        <v>0</v>
      </c>
      <c r="AO14" s="5">
        <f>SUMPRODUCT(($BN$4:$BN$99='Dummy Table'!$AF14)*($BL$4:$BL$99=$BM$4:$BM$99))</f>
        <v>0</v>
      </c>
      <c r="AP14" s="5">
        <f>SUMPRODUCT(($BN$4:$BN$99='Dummy Table'!$AF14)*($BL$4:$BL$99&gt;$BM$4:$BM$99))</f>
        <v>0</v>
      </c>
      <c r="AQ14" s="5">
        <f>SUMIF($BN$4:$BN$99,'Dummy Table'!$AF14,$BM$4:$BM$99)</f>
        <v>0</v>
      </c>
      <c r="AR14" s="5">
        <f>SUMIF($BN$4:$BN$99,'Dummy Table'!$AF14,$BL$4:$BL$99)</f>
        <v>0</v>
      </c>
      <c r="AS14" s="5">
        <f t="shared" si="22"/>
        <v>0</v>
      </c>
      <c r="AT14" s="5">
        <f t="shared" si="23"/>
        <v>0</v>
      </c>
      <c r="AU14" s="5">
        <f t="shared" si="24"/>
        <v>0</v>
      </c>
      <c r="AV14" s="5">
        <f t="shared" si="25"/>
        <v>0</v>
      </c>
      <c r="AW14" s="5">
        <f t="shared" si="26"/>
        <v>0</v>
      </c>
      <c r="AX14" s="5">
        <f t="shared" si="27"/>
        <v>0</v>
      </c>
      <c r="AY14" s="5">
        <f t="shared" si="28"/>
        <v>0</v>
      </c>
      <c r="AZ14" s="5">
        <f t="shared" si="29"/>
        <v>0</v>
      </c>
      <c r="BA14" s="5">
        <f t="shared" si="41"/>
        <v>0</v>
      </c>
      <c r="BB14" s="5">
        <f t="shared" si="30"/>
        <v>0</v>
      </c>
      <c r="BC14" s="5">
        <f t="shared" si="31"/>
        <v>0</v>
      </c>
      <c r="BD14" s="5">
        <f t="shared" si="32"/>
        <v>48</v>
      </c>
      <c r="BE14" s="75">
        <f>RANK(BA14,BA$12:BA$15)</f>
        <v>1</v>
      </c>
      <c r="BF14" s="75">
        <f>SUMPRODUCT((BA$12:BA$15=BA14)*(AZ$12:AZ$15&gt;AZ14))</f>
        <v>0</v>
      </c>
      <c r="BG14" s="75">
        <f>SUMPRODUCT((BA$12:BA$15=BA14)*(BE$12:BE$15=BE14)*(AZ$12:AZ$15=AZ14)*(AQ$12:AQ$15&gt;AQ14))</f>
        <v>0</v>
      </c>
      <c r="BH14" s="75">
        <f>SUMPRODUCT((BA$12:BA$15=BA14)*(BE$12:BE$15=BE14)*(AZ$12:AZ$15=AZ14)*(AQ$12:AQ$15=AQ14)*(BB$12:BB$15&gt;BB14))</f>
        <v>0</v>
      </c>
      <c r="BI14" s="75">
        <f>SUMPRODUCT((BA$12:BA$15=BA14)*(BE$12:BE$15=BE14)*(AZ$12:AZ$15=AZ14)*(AQ$12:AQ$15=AQ14)*(BB$12:BB$15=BB14)*(BC$12:BC$15&gt;BC14))</f>
        <v>0</v>
      </c>
      <c r="BJ14" s="75">
        <f>SUMPRODUCT((BA$12:BA$15=BA14)*(BE$12:BE$15=BE14)*(AZ$12:AZ$15=AZ14)*(AQ$12:AQ$15=AQ14)*(BB$12:BB$15=BB14)*(BC$12:BC$15=BC14)*(BD$12:BD$15&gt;BD14))</f>
        <v>2</v>
      </c>
      <c r="BK14" s="5" t="str">
        <f>IF(AND(COUNTIF($AF$4:$AF$35,Gruppenphase!G23)&gt;0,COUNTIF($AF$4:$AF$35,Gruppenphase!M23)&gt;0,Gruppenphase!I23&lt;&gt;"",Gruppenphase!K23&lt;&gt;""),Gruppenphase!G23,"")</f>
        <v/>
      </c>
      <c r="BL14" s="5" t="str">
        <f>IF($BK14&lt;&gt;"",Gruppenphase!I23,"")</f>
        <v/>
      </c>
      <c r="BM14" s="5" t="str">
        <f>IF($BK14&lt;&gt;"",Gruppenphase!K23,"")</f>
        <v/>
      </c>
      <c r="BN14" s="5" t="str">
        <f>IF($BK14&lt;&gt;"",Gruppenphase!M23,"")</f>
        <v/>
      </c>
      <c r="BO14" s="5">
        <f t="shared" si="2"/>
        <v>3</v>
      </c>
      <c r="BP14" s="5" t="str">
        <f t="shared" si="33"/>
        <v>Basel</v>
      </c>
      <c r="BQ14" s="5">
        <f>VLOOKUP($AD14,$B$12:$W$15,22,FALSE)</f>
        <v>0</v>
      </c>
      <c r="BR14" s="5" t="str">
        <f>IF(AND(BQ14&lt;&gt;BQ13,BQ14=BQ15),AD14,"")</f>
        <v/>
      </c>
      <c r="BS14" s="5">
        <f>SUMPRODUCT(($BK$4:$BK$99='Dummy Table'!$AF14)*($BL$4:$BL$99&gt;$BM$4:$BM$99))</f>
        <v>0</v>
      </c>
      <c r="BT14" s="5">
        <f>SUMPRODUCT(($BK$4:$BK$99='Dummy Table'!$AF14)*($BL$4:$BL$99=$BM$4:$BM$99))</f>
        <v>0</v>
      </c>
      <c r="BU14" s="5">
        <f>SUMPRODUCT(($BK$4:$BK$99='Dummy Table'!$AF14)*($BL$4:$BL$99&lt;$BM$4:$BM$99))</f>
        <v>0</v>
      </c>
      <c r="BV14" s="5">
        <f>SUMIF($BK$4:$BK$99,'Dummy Table'!$AF14,$BL$4:$BL$99)</f>
        <v>0</v>
      </c>
      <c r="BW14" s="5">
        <f>SUMIF($BK$4:$BK$99,'Dummy Table'!$AF14,$BM$4:$BM$99)</f>
        <v>0</v>
      </c>
      <c r="BX14" s="5">
        <f t="shared" si="34"/>
        <v>0</v>
      </c>
      <c r="BY14" s="5" t="str">
        <f t="shared" si="35"/>
        <v/>
      </c>
      <c r="BZ14" s="5">
        <f>SUMPRODUCT(($BN$4:$BN$99='Dummy Table'!$AF14)*($BL$4:$BL$99&lt;$BM$4:$BM$99))</f>
        <v>0</v>
      </c>
      <c r="CA14" s="5">
        <f>SUMPRODUCT(($BN$4:$BN$99='Dummy Table'!$AF14)*($BL$4:$BL$99=$BM$4:$BM$99))</f>
        <v>0</v>
      </c>
      <c r="CB14" s="5">
        <f>SUMPRODUCT(($BN$4:$BN$99='Dummy Table'!$AF14)*($BL$4:$BL$99&gt;$BM$4:$BM$99))</f>
        <v>0</v>
      </c>
      <c r="CC14" s="5">
        <f>SUMIF($BN$4:$BN$99,'Dummy Table'!$AF14,$BM$4:$BM$99)</f>
        <v>0</v>
      </c>
      <c r="CD14" s="5">
        <f>SUMIF($BN$4:$BN$99,'Dummy Table'!$AF14,$BL$4:$BL$99)</f>
        <v>0</v>
      </c>
      <c r="CE14" s="5">
        <f t="shared" si="36"/>
        <v>0</v>
      </c>
      <c r="CF14" s="5" t="str">
        <f t="shared" si="37"/>
        <v/>
      </c>
      <c r="CG14" s="5">
        <f t="shared" si="38"/>
        <v>0</v>
      </c>
      <c r="CH14" s="5">
        <f t="shared" si="3"/>
        <v>0</v>
      </c>
      <c r="CI14" s="5">
        <f t="shared" si="4"/>
        <v>0</v>
      </c>
      <c r="CJ14" s="5">
        <f t="shared" si="5"/>
        <v>0</v>
      </c>
      <c r="CK14" s="5">
        <f t="shared" si="6"/>
        <v>0</v>
      </c>
      <c r="CL14" s="5">
        <f t="shared" si="7"/>
        <v>0</v>
      </c>
      <c r="CM14" s="5">
        <f t="shared" si="42"/>
        <v>-1</v>
      </c>
      <c r="CN14" s="5">
        <v>11</v>
      </c>
      <c r="CO14" s="5">
        <f>RANK(CM14,CM$12:CM$15)</f>
        <v>1</v>
      </c>
      <c r="CP14" s="5">
        <f>SUMPRODUCT((CM$12:CM$15=CM14)*(CO$12:CO$15=CO14)*(CC$12:CC$15&gt;CC14))</f>
        <v>0</v>
      </c>
      <c r="CQ14" s="5">
        <f>SUMPRODUCT((CM$12:CM$15=CM14)*(CL$12:CL$15&gt;CL14))</f>
        <v>0</v>
      </c>
      <c r="CR14" s="5">
        <f>SUMPRODUCT((CO$12:CO$15=CO14)*(CQ$12:CQ$15=CQ14)*(CJ$12:CJ$15&gt;CJ14))</f>
        <v>0</v>
      </c>
      <c r="CS14" s="5">
        <f>SUMPRODUCT((CO$12:CO$15=CO14)*(CQ$12:CQ$15=CQ14)*(CJ$12:CJ$15=CJ14)*(CN$12:CN$15&gt;CN14))</f>
        <v>1</v>
      </c>
      <c r="CT14" s="5" t="str">
        <f>IF(AND(COUNTIF($AF$4:$AF$35,Gruppenphase!$G23)&gt;0,COUNTIF($AF$4:$AF$35,Gruppenphase!$M23)&gt;0),Gruppenphase!$G23,"")</f>
        <v>Lille</v>
      </c>
      <c r="CU14" s="5" t="str">
        <f>IF($BK14&lt;&gt;"",Gruppenphase!$I23,"")</f>
        <v/>
      </c>
      <c r="CV14" s="5" t="str">
        <f>IF($BK14&lt;&gt;"",Gruppenphase!$K23,"")</f>
        <v/>
      </c>
      <c r="CW14" s="5" t="str">
        <f>IF($BK14&lt;&gt;"",Gruppenphase!$M23,"")</f>
        <v/>
      </c>
      <c r="CX14" s="5" t="str">
        <f t="shared" si="39"/>
        <v/>
      </c>
      <c r="CY14" s="5" t="str">
        <f t="shared" si="40"/>
        <v/>
      </c>
      <c r="CZ14" s="5">
        <v>3</v>
      </c>
      <c r="DA14" s="5" t="str">
        <f t="shared" si="43"/>
        <v/>
      </c>
      <c r="DB14" s="5">
        <f>IF(AND(DA14="",DA13="",DA12=""),CZ14,IF(AND(DA12&lt;&gt;"",DA13="",DA14=""),2,IF(AND(DA12&lt;&gt;"",DA13&lt;&gt;"",DA14=""),1,"")))</f>
        <v>3</v>
      </c>
      <c r="DC14" s="5" t="str">
        <f>VLOOKUP(DB14,$BO$12:$BP$15,2,FALSE)</f>
        <v>Basel</v>
      </c>
      <c r="DD14" s="5">
        <v>3</v>
      </c>
      <c r="DE14" s="5" t="str">
        <f>IF(CY14&lt;&gt;"",IF(CX14&lt;CX15,CY14,CY15),IF(DC14&lt;&gt;"",DC14,DA14))</f>
        <v>Basel</v>
      </c>
    </row>
    <row r="15" spans="1:109" x14ac:dyDescent="0.2">
      <c r="A15" s="5">
        <f t="shared" si="8"/>
        <v>4</v>
      </c>
      <c r="B15" s="5" t="str">
        <f>'Club Namen'!B14</f>
        <v>Oţelul Galaţi</v>
      </c>
      <c r="C15" s="5">
        <f>SUMPRODUCT((Gruppenphase!$I$13:$I$108&lt;&gt;"")*(Gruppenphase!$K$13:$K$108&lt;&gt;"")*(Gruppenphase!$G$13:$G$108='Dummy Table'!$B15)*(Gruppenphase!$I$13:$I$108&gt;Gruppenphase!$K$13:$K$108))</f>
        <v>0</v>
      </c>
      <c r="D15" s="5">
        <f>SUMPRODUCT((Gruppenphase!$I$13:$I$108&lt;&gt;"")*(Gruppenphase!$K$13:$K$108&lt;&gt;"")*(Gruppenphase!$G$13:$G$108='Dummy Table'!$B15)*(Gruppenphase!$I$13:$I$108=Gruppenphase!$K$13:$K$108))</f>
        <v>0</v>
      </c>
      <c r="E15" s="5">
        <f>SUMPRODUCT((Gruppenphase!$I$13:$I$108&lt;&gt;"")*(Gruppenphase!$K$13:$K$108&lt;&gt;"")*(Gruppenphase!$G$13:$G$108='Dummy Table'!$B15)*(Gruppenphase!$I$13:$I$108&lt;Gruppenphase!$K$13:$K$108))</f>
        <v>0</v>
      </c>
      <c r="F15" s="5">
        <f>SUMIF(Gruppenphase!$G$13:$G$108,'Dummy Table'!$B15,Gruppenphase!$I$13:$I$108)</f>
        <v>0</v>
      </c>
      <c r="G15" s="5">
        <f>SUMIF(Gruppenphase!$G$13:$G$108,'Dummy Table'!$B15,Gruppenphase!$K$13:$K$108)</f>
        <v>0</v>
      </c>
      <c r="H15" s="5">
        <f t="shared" si="9"/>
        <v>0</v>
      </c>
      <c r="I15" s="5">
        <f t="shared" si="10"/>
        <v>0</v>
      </c>
      <c r="J15" s="5">
        <f>SUMPRODUCT((Gruppenphase!$I$13:$I$108&lt;&gt;"")*(Gruppenphase!$K$13:$K$108&lt;&gt;"")*(Gruppenphase!$M$13:$M$108='Dummy Table'!$B15)*(Gruppenphase!$I$13:$I$108&lt;Gruppenphase!$K$13:$K$108))</f>
        <v>0</v>
      </c>
      <c r="K15" s="5">
        <f>SUMPRODUCT((Gruppenphase!$I$13:$I$108&lt;&gt;"")*(Gruppenphase!$K$13:$K$108&lt;&gt;"")*(Gruppenphase!$M$13:$M$108='Dummy Table'!$B15)*(Gruppenphase!$I$13:$I$108=Gruppenphase!$K$13:$K$108))</f>
        <v>0</v>
      </c>
      <c r="L15" s="5">
        <f>SUMPRODUCT((Gruppenphase!$I$13:$I$108&lt;&gt;"")*(Gruppenphase!$K$13:$K$108&lt;&gt;"")*(Gruppenphase!$M$13:$M$108='Dummy Table'!$B15)*(Gruppenphase!$I$13:$I$108&gt;Gruppenphase!$K$13:$K$108))</f>
        <v>0</v>
      </c>
      <c r="M15" s="5">
        <f>SUMIF(Gruppenphase!$M$13:$M$108,'Dummy Table'!$B15,Gruppenphase!$K$13:$K$108)</f>
        <v>0</v>
      </c>
      <c r="N15" s="5">
        <f>SUMIF(Gruppenphase!$M$13:$M$108,'Dummy Table'!$B15,Gruppenphase!$I$13:$I$108)</f>
        <v>0</v>
      </c>
      <c r="O15" s="5">
        <f t="shared" si="11"/>
        <v>0</v>
      </c>
      <c r="P15" s="5">
        <f t="shared" si="12"/>
        <v>0</v>
      </c>
      <c r="Q15" s="5">
        <f t="shared" si="13"/>
        <v>0</v>
      </c>
      <c r="R15" s="5">
        <f t="shared" si="14"/>
        <v>0</v>
      </c>
      <c r="S15" s="5">
        <f t="shared" si="15"/>
        <v>0</v>
      </c>
      <c r="T15" s="5">
        <f t="shared" si="16"/>
        <v>0</v>
      </c>
      <c r="U15" s="5">
        <f t="shared" si="17"/>
        <v>0</v>
      </c>
      <c r="V15" s="5">
        <f t="shared" si="18"/>
        <v>0</v>
      </c>
      <c r="W15" s="5">
        <f t="shared" si="19"/>
        <v>0</v>
      </c>
      <c r="X15" s="5">
        <v>14</v>
      </c>
      <c r="Y15" s="5">
        <f>RANK(W15,W$12:W$15)</f>
        <v>1</v>
      </c>
      <c r="Z15" s="5">
        <f>SUMPRODUCT((W$12:W$15=W15)*(V$12:V$15&gt;V15))</f>
        <v>0</v>
      </c>
      <c r="AA15" s="5">
        <f>SUMPRODUCT((Y$12:Y$15=Y15)*(Z$12:Z$15=Z15)*(T$12:T$15&gt;T15))</f>
        <v>0</v>
      </c>
      <c r="AB15" s="5">
        <f>SUMPRODUCT((Y$12:Y$15=Y15)*(Z$12:Z$15=Z15)*(T$12:T$15=T15)*(X$12:X$15&gt;X15))</f>
        <v>3</v>
      </c>
      <c r="AC15" s="5">
        <v>4</v>
      </c>
      <c r="AD15" s="5" t="str">
        <f>VLOOKUP(AC15,$A$12:$B$15,2,FALSE)</f>
        <v>Oţelul Galaţi</v>
      </c>
      <c r="AE15" s="5">
        <f>VLOOKUP($AD15,$B$12:$W$15,22,FALSE)</f>
        <v>0</v>
      </c>
      <c r="AF15" s="5" t="str">
        <f>IF(AND(AE15=AE14,AE14=AE13),AD15,"")</f>
        <v>Oţelul Galaţi</v>
      </c>
      <c r="AG15" s="5">
        <f>SUMPRODUCT(($BK$4:$BK$99='Dummy Table'!$AF15)*($BL$4:$BL$99&gt;$BM$4:$BM$99))</f>
        <v>0</v>
      </c>
      <c r="AH15" s="5">
        <f>SUMPRODUCT(($BK$4:$BK$99='Dummy Table'!$AF15)*($BL$4:$BL$99=$BM$4:$BM$99))</f>
        <v>0</v>
      </c>
      <c r="AI15" s="5">
        <f>SUMPRODUCT(($BK$4:$BK$99='Dummy Table'!$AF15)*($BL$4:$BL$99&lt;$BM$4:$BM$99))</f>
        <v>0</v>
      </c>
      <c r="AJ15" s="5">
        <f>SUMIF($BK$4:$BK$99,'Dummy Table'!$AF15,$BL$4:$BL$99)</f>
        <v>0</v>
      </c>
      <c r="AK15" s="5">
        <f>SUMIF($BK$4:$BK$99,'Dummy Table'!$AF15,$BM$4:$BM$99)</f>
        <v>0</v>
      </c>
      <c r="AL15" s="5">
        <f t="shared" si="20"/>
        <v>0</v>
      </c>
      <c r="AM15" s="5">
        <f t="shared" si="21"/>
        <v>0</v>
      </c>
      <c r="AN15" s="5">
        <f>SUMPRODUCT(($BN$4:$BN$99='Dummy Table'!$AF15)*($BL$4:$BL$99&lt;$BM$4:$BM$99))</f>
        <v>0</v>
      </c>
      <c r="AO15" s="5">
        <f>SUMPRODUCT(($BN$4:$BN$99='Dummy Table'!$AF15)*($BL$4:$BL$99=$BM$4:$BM$99))</f>
        <v>0</v>
      </c>
      <c r="AP15" s="5">
        <f>SUMPRODUCT(($BN$4:$BN$99='Dummy Table'!$AF15)*($BL$4:$BL$99&gt;$BM$4:$BM$99))</f>
        <v>0</v>
      </c>
      <c r="AQ15" s="5">
        <f>SUMIF($BN$4:$BN$99,'Dummy Table'!$AF15,$BM$4:$BM$99)</f>
        <v>0</v>
      </c>
      <c r="AR15" s="5">
        <f>SUMIF($BN$4:$BN$99,'Dummy Table'!$AF15,$BL$4:$BL$99)</f>
        <v>0</v>
      </c>
      <c r="AS15" s="5">
        <f t="shared" si="22"/>
        <v>0</v>
      </c>
      <c r="AT15" s="5">
        <f t="shared" si="23"/>
        <v>0</v>
      </c>
      <c r="AU15" s="5">
        <f t="shared" si="24"/>
        <v>0</v>
      </c>
      <c r="AV15" s="5">
        <f t="shared" si="25"/>
        <v>0</v>
      </c>
      <c r="AW15" s="5">
        <f t="shared" si="26"/>
        <v>0</v>
      </c>
      <c r="AX15" s="5">
        <f t="shared" si="27"/>
        <v>0</v>
      </c>
      <c r="AY15" s="5">
        <f t="shared" si="28"/>
        <v>0</v>
      </c>
      <c r="AZ15" s="5">
        <f t="shared" si="29"/>
        <v>0</v>
      </c>
      <c r="BA15" s="5">
        <f t="shared" si="41"/>
        <v>0</v>
      </c>
      <c r="BB15" s="5">
        <f t="shared" si="30"/>
        <v>0</v>
      </c>
      <c r="BC15" s="5">
        <f t="shared" si="31"/>
        <v>0</v>
      </c>
      <c r="BD15" s="5">
        <f t="shared" si="32"/>
        <v>14</v>
      </c>
      <c r="BE15" s="75">
        <f>RANK(BA15,BA$12:BA$15)</f>
        <v>1</v>
      </c>
      <c r="BF15" s="75">
        <f>SUMPRODUCT((BA$12:BA$15=BA15)*(AZ$12:AZ$15&gt;AZ15))</f>
        <v>0</v>
      </c>
      <c r="BG15" s="75">
        <f>SUMPRODUCT((BA$12:BA$15=BA15)*(BE$12:BE$15=BE15)*(AZ$12:AZ$15=AZ15)*(AQ$12:AQ$15&gt;AQ15))</f>
        <v>0</v>
      </c>
      <c r="BH15" s="75">
        <f>SUMPRODUCT((BA$12:BA$15=BA15)*(BE$12:BE$15=BE15)*(AZ$12:AZ$15=AZ15)*(AQ$12:AQ$15=AQ15)*(BB$12:BB$15&gt;BB15))</f>
        <v>0</v>
      </c>
      <c r="BI15" s="75">
        <f>SUMPRODUCT((BA$12:BA$15=BA15)*(BE$12:BE$15=BE15)*(AZ$12:AZ$15=AZ15)*(AQ$12:AQ$15=AQ15)*(BB$12:BB$15=BB15)*(BC$12:BC$15&gt;BC15))</f>
        <v>0</v>
      </c>
      <c r="BJ15" s="75">
        <f>SUMPRODUCT((BA$12:BA$15=BA15)*(BE$12:BE$15=BE15)*(AZ$12:AZ$15=AZ15)*(AQ$12:AQ$15=AQ15)*(BB$12:BB$15=BB15)*(BC$12:BC$15=BC15)*(BD$12:BD$15&gt;BD15))</f>
        <v>3</v>
      </c>
      <c r="BK15" s="5" t="str">
        <f>IF(AND(COUNTIF($AF$4:$AF$35,Gruppenphase!G24)&gt;0,COUNTIF($AF$4:$AF$35,Gruppenphase!M24)&gt;0,Gruppenphase!I24&lt;&gt;"",Gruppenphase!K24&lt;&gt;""),Gruppenphase!G24,"")</f>
        <v/>
      </c>
      <c r="BL15" s="5" t="str">
        <f>IF($BK15&lt;&gt;"",Gruppenphase!I24,"")</f>
        <v/>
      </c>
      <c r="BM15" s="5" t="str">
        <f>IF($BK15&lt;&gt;"",Gruppenphase!K24,"")</f>
        <v/>
      </c>
      <c r="BN15" s="5" t="str">
        <f>IF($BK15&lt;&gt;"",Gruppenphase!M24,"")</f>
        <v/>
      </c>
      <c r="BO15" s="5">
        <f t="shared" si="2"/>
        <v>4</v>
      </c>
      <c r="BP15" s="5" t="str">
        <f t="shared" si="33"/>
        <v>Oţelul Galaţi</v>
      </c>
      <c r="BQ15" s="5">
        <f>VLOOKUP($AD15,$B$12:$W$15,22,FALSE)</f>
        <v>0</v>
      </c>
      <c r="BR15" s="5" t="str">
        <f>IF(BR14&lt;&gt;"",AD15,"")</f>
        <v/>
      </c>
      <c r="BS15" s="5">
        <f>SUMPRODUCT(($BK$4:$BK$99='Dummy Table'!$AF15)*($BL$4:$BL$99&gt;$BM$4:$BM$99))</f>
        <v>0</v>
      </c>
      <c r="BT15" s="5">
        <f>SUMPRODUCT(($BK$4:$BK$99='Dummy Table'!$AF15)*($BL$4:$BL$99=$BM$4:$BM$99))</f>
        <v>0</v>
      </c>
      <c r="BU15" s="5">
        <f>SUMPRODUCT(($BK$4:$BK$99='Dummy Table'!$AF15)*($BL$4:$BL$99&lt;$BM$4:$BM$99))</f>
        <v>0</v>
      </c>
      <c r="BV15" s="5">
        <f>SUMIF($BK$4:$BK$99,'Dummy Table'!$AF15,$BL$4:$BL$99)</f>
        <v>0</v>
      </c>
      <c r="BW15" s="5">
        <f>SUMIF($BK$4:$BK$99,'Dummy Table'!$AF15,$BM$4:$BM$99)</f>
        <v>0</v>
      </c>
      <c r="BX15" s="5">
        <f t="shared" si="34"/>
        <v>0</v>
      </c>
      <c r="BY15" s="5" t="str">
        <f t="shared" si="35"/>
        <v/>
      </c>
      <c r="BZ15" s="5">
        <f>SUMPRODUCT(($BN$4:$BN$99='Dummy Table'!$AF15)*($BL$4:$BL$99&lt;$BM$4:$BM$99))</f>
        <v>0</v>
      </c>
      <c r="CA15" s="5">
        <f>SUMPRODUCT(($BN$4:$BN$99='Dummy Table'!$AF15)*($BL$4:$BL$99=$BM$4:$BM$99))</f>
        <v>0</v>
      </c>
      <c r="CB15" s="5">
        <f>SUMPRODUCT(($BN$4:$BN$99='Dummy Table'!$AF15)*($BL$4:$BL$99&gt;$BM$4:$BM$99))</f>
        <v>0</v>
      </c>
      <c r="CC15" s="5">
        <f>SUMIF($BN$4:$BN$99,'Dummy Table'!$AF15,$BM$4:$BM$99)</f>
        <v>0</v>
      </c>
      <c r="CD15" s="5">
        <f>SUMIF($BN$4:$BN$99,'Dummy Table'!$AF15,$BL$4:$BL$99)</f>
        <v>0</v>
      </c>
      <c r="CE15" s="5">
        <f t="shared" si="36"/>
        <v>0</v>
      </c>
      <c r="CF15" s="5" t="str">
        <f t="shared" si="37"/>
        <v/>
      </c>
      <c r="CG15" s="5">
        <f t="shared" si="38"/>
        <v>0</v>
      </c>
      <c r="CH15" s="5">
        <f t="shared" si="3"/>
        <v>0</v>
      </c>
      <c r="CI15" s="5">
        <f t="shared" si="4"/>
        <v>0</v>
      </c>
      <c r="CJ15" s="5">
        <f t="shared" si="5"/>
        <v>0</v>
      </c>
      <c r="CK15" s="5">
        <f t="shared" si="6"/>
        <v>0</v>
      </c>
      <c r="CL15" s="5">
        <f t="shared" si="7"/>
        <v>0</v>
      </c>
      <c r="CM15" s="5">
        <f t="shared" si="42"/>
        <v>-1</v>
      </c>
      <c r="CN15" s="5">
        <v>12</v>
      </c>
      <c r="CO15" s="5">
        <f>RANK(CM15,CM$12:CM$15)</f>
        <v>1</v>
      </c>
      <c r="CP15" s="5">
        <f>SUMPRODUCT((CM$12:CM$15=CM15)*(CO$12:CO$15=CO15)*(CC$12:CC$15&gt;CC15))</f>
        <v>0</v>
      </c>
      <c r="CQ15" s="5">
        <f>SUMPRODUCT((CM$12:CM$15=CM15)*(CL$12:CL$15&gt;CL15))</f>
        <v>0</v>
      </c>
      <c r="CR15" s="5">
        <f>SUMPRODUCT((CO$12:CO$15=CO15)*(CQ$12:CQ$15=CQ15)*(CJ$12:CJ$15&gt;CJ15))</f>
        <v>0</v>
      </c>
      <c r="CS15" s="5">
        <f>SUMPRODUCT((CO$12:CO$15=CO15)*(CQ$12:CQ$15=CQ15)*(CJ$12:CJ$15=CJ15)*(CN$12:CN$15&gt;CN15))</f>
        <v>0</v>
      </c>
      <c r="CT15" s="5" t="str">
        <f>IF(AND(COUNTIF($AF$4:$AF$35,Gruppenphase!$G24)&gt;0,COUNTIF($AF$4:$AF$35,Gruppenphase!$M24)&gt;0),Gruppenphase!$G24,"")</f>
        <v>Internazionale</v>
      </c>
      <c r="CU15" s="5" t="str">
        <f>IF($BK15&lt;&gt;"",Gruppenphase!$I24,"")</f>
        <v/>
      </c>
      <c r="CV15" s="5" t="str">
        <f>IF($BK15&lt;&gt;"",Gruppenphase!$K24,"")</f>
        <v/>
      </c>
      <c r="CW15" s="5" t="str">
        <f>IF($BK15&lt;&gt;"",Gruppenphase!$M24,"")</f>
        <v/>
      </c>
      <c r="CX15" s="5" t="str">
        <f t="shared" si="39"/>
        <v/>
      </c>
      <c r="CY15" s="5" t="str">
        <f t="shared" si="40"/>
        <v/>
      </c>
      <c r="CZ15" s="5">
        <v>4</v>
      </c>
      <c r="DA15" s="5" t="str">
        <f t="shared" si="43"/>
        <v/>
      </c>
      <c r="DB15" s="5">
        <f>IF(AND(DA15="",DA14="",DA13="",DA12=""),4,IF(AND(DA15="",DA14="",DA13=""),3,IF(AND(DA13&lt;&gt;"",DA14="",DA15=""),2,IF(AND(DA13&lt;&gt;"",DA14&lt;&gt;"",DA15=""),1,""))))</f>
        <v>4</v>
      </c>
      <c r="DC15" s="5" t="str">
        <f>VLOOKUP(DB15,$BO$12:$BP$15,2,FALSE)</f>
        <v>Oţelul Galaţi</v>
      </c>
      <c r="DD15" s="5">
        <v>4</v>
      </c>
      <c r="DE15" s="5" t="str">
        <f>IF(CY15&lt;&gt;"",IF(CX14&lt;CX15,CY15,CY14),IF(DC15&lt;&gt;"",DC15,DA15))</f>
        <v>Oţelul Galaţi</v>
      </c>
    </row>
    <row r="16" spans="1:109" x14ac:dyDescent="0.2">
      <c r="A16" s="5">
        <f t="shared" si="8"/>
        <v>1</v>
      </c>
      <c r="B16" s="5" t="str">
        <f>'Club Namen'!B15</f>
        <v>Real Madrid</v>
      </c>
      <c r="C16" s="5">
        <f>SUMPRODUCT((Gruppenphase!$I$13:$I$108&lt;&gt;"")*(Gruppenphase!$K$13:$K$108&lt;&gt;"")*(Gruppenphase!$G$13:$G$108='Dummy Table'!$B16)*(Gruppenphase!$I$13:$I$108&gt;Gruppenphase!$K$13:$K$108))</f>
        <v>0</v>
      </c>
      <c r="D16" s="5">
        <f>SUMPRODUCT((Gruppenphase!$I$13:$I$108&lt;&gt;"")*(Gruppenphase!$K$13:$K$108&lt;&gt;"")*(Gruppenphase!$G$13:$G$108='Dummy Table'!$B16)*(Gruppenphase!$I$13:$I$108=Gruppenphase!$K$13:$K$108))</f>
        <v>0</v>
      </c>
      <c r="E16" s="5">
        <f>SUMPRODUCT((Gruppenphase!$I$13:$I$108&lt;&gt;"")*(Gruppenphase!$K$13:$K$108&lt;&gt;"")*(Gruppenphase!$G$13:$G$108='Dummy Table'!$B16)*(Gruppenphase!$I$13:$I$108&lt;Gruppenphase!$K$13:$K$108))</f>
        <v>0</v>
      </c>
      <c r="F16" s="5">
        <f>SUMIF(Gruppenphase!$G$13:$G$108,'Dummy Table'!$B16,Gruppenphase!$I$13:$I$108)</f>
        <v>0</v>
      </c>
      <c r="G16" s="5">
        <f>SUMIF(Gruppenphase!$G$13:$G$108,'Dummy Table'!$B16,Gruppenphase!$K$13:$K$108)</f>
        <v>0</v>
      </c>
      <c r="H16" s="5">
        <f t="shared" si="9"/>
        <v>0</v>
      </c>
      <c r="I16" s="5">
        <f t="shared" si="10"/>
        <v>0</v>
      </c>
      <c r="J16" s="5">
        <f>SUMPRODUCT((Gruppenphase!$I$13:$I$108&lt;&gt;"")*(Gruppenphase!$K$13:$K$108&lt;&gt;"")*(Gruppenphase!$M$13:$M$108='Dummy Table'!$B16)*(Gruppenphase!$I$13:$I$108&lt;Gruppenphase!$K$13:$K$108))</f>
        <v>0</v>
      </c>
      <c r="K16" s="5">
        <f>SUMPRODUCT((Gruppenphase!$I$13:$I$108&lt;&gt;"")*(Gruppenphase!$K$13:$K$108&lt;&gt;"")*(Gruppenphase!$M$13:$M$108='Dummy Table'!$B16)*(Gruppenphase!$I$13:$I$108=Gruppenphase!$K$13:$K$108))</f>
        <v>0</v>
      </c>
      <c r="L16" s="5">
        <f>SUMPRODUCT((Gruppenphase!$I$13:$I$108&lt;&gt;"")*(Gruppenphase!$K$13:$K$108&lt;&gt;"")*(Gruppenphase!$M$13:$M$108='Dummy Table'!$B16)*(Gruppenphase!$I$13:$I$108&gt;Gruppenphase!$K$13:$K$108))</f>
        <v>0</v>
      </c>
      <c r="M16" s="5">
        <f>SUMIF(Gruppenphase!$M$13:$M$108,'Dummy Table'!$B16,Gruppenphase!$K$13:$K$108)</f>
        <v>0</v>
      </c>
      <c r="N16" s="5">
        <f>SUMIF(Gruppenphase!$M$13:$M$108,'Dummy Table'!$B16,Gruppenphase!$I$13:$I$108)</f>
        <v>0</v>
      </c>
      <c r="O16" s="5">
        <f t="shared" si="11"/>
        <v>0</v>
      </c>
      <c r="P16" s="5">
        <f t="shared" si="12"/>
        <v>0</v>
      </c>
      <c r="Q16" s="5">
        <f t="shared" si="13"/>
        <v>0</v>
      </c>
      <c r="R16" s="5">
        <f t="shared" si="14"/>
        <v>0</v>
      </c>
      <c r="S16" s="5">
        <f t="shared" si="15"/>
        <v>0</v>
      </c>
      <c r="T16" s="5">
        <f t="shared" si="16"/>
        <v>0</v>
      </c>
      <c r="U16" s="5">
        <f t="shared" si="17"/>
        <v>0</v>
      </c>
      <c r="V16" s="5">
        <f t="shared" si="18"/>
        <v>0</v>
      </c>
      <c r="W16" s="5">
        <f t="shared" si="19"/>
        <v>0</v>
      </c>
      <c r="X16" s="5">
        <v>118</v>
      </c>
      <c r="Y16" s="5">
        <f>RANK(W16,W$16:W$19)</f>
        <v>1</v>
      </c>
      <c r="Z16" s="5">
        <f>SUMPRODUCT((W$16:W$19=W16)*(V$16:V$19&gt;V16))</f>
        <v>0</v>
      </c>
      <c r="AA16" s="5">
        <f>SUMPRODUCT((Y$16:Y$19=Y16)*(Z$16:Z$19=Z16)*(T$16:T$19&gt;T16))</f>
        <v>0</v>
      </c>
      <c r="AB16" s="5">
        <f>SUMPRODUCT((Y$16:Y$19=Y16)*(Z$16:Z$19=Z16)*(T$16:T$19=T16)*(X$16:X$19&gt;X16))</f>
        <v>0</v>
      </c>
      <c r="AC16" s="5">
        <v>1</v>
      </c>
      <c r="AD16" s="5" t="str">
        <f>VLOOKUP(AC16,$A$16:$B$19,2,FALSE)</f>
        <v>Real Madrid</v>
      </c>
      <c r="AE16" s="5">
        <f>VLOOKUP($AD16,$B$16:$W$19,22,FALSE)</f>
        <v>0</v>
      </c>
      <c r="AF16" s="5" t="str">
        <f>IF(AE16=AE17,AD16,"")</f>
        <v>Real Madrid</v>
      </c>
      <c r="AG16" s="5">
        <f>SUMPRODUCT(($BK$4:$BK$99='Dummy Table'!$AF16)*($BL$4:$BL$99&gt;$BM$4:$BM$99))</f>
        <v>0</v>
      </c>
      <c r="AH16" s="5">
        <f>SUMPRODUCT(($BK$4:$BK$99='Dummy Table'!$AF16)*($BL$4:$BL$99=$BM$4:$BM$99))</f>
        <v>0</v>
      </c>
      <c r="AI16" s="5">
        <f>SUMPRODUCT(($BK$4:$BK$99='Dummy Table'!$AF16)*($BL$4:$BL$99&lt;$BM$4:$BM$99))</f>
        <v>0</v>
      </c>
      <c r="AJ16" s="5">
        <f>SUMIF($BK$4:$BK$99,'Dummy Table'!$AF16,$BL$4:$BL$99)</f>
        <v>0</v>
      </c>
      <c r="AK16" s="5">
        <f>SUMIF($BK$4:$BK$99,'Dummy Table'!$AF16,$BM$4:$BM$99)</f>
        <v>0</v>
      </c>
      <c r="AL16" s="5">
        <f t="shared" si="20"/>
        <v>0</v>
      </c>
      <c r="AM16" s="5">
        <f t="shared" si="21"/>
        <v>0</v>
      </c>
      <c r="AN16" s="5">
        <f>SUMPRODUCT(($BN$4:$BN$99='Dummy Table'!$AF16)*($BL$4:$BL$99&lt;$BM$4:$BM$99))</f>
        <v>0</v>
      </c>
      <c r="AO16" s="5">
        <f>SUMPRODUCT(($BN$4:$BN$99='Dummy Table'!$AF16)*($BL$4:$BL$99=$BM$4:$BM$99))</f>
        <v>0</v>
      </c>
      <c r="AP16" s="5">
        <f>SUMPRODUCT(($BN$4:$BN$99='Dummy Table'!$AF16)*($BL$4:$BL$99&gt;$BM$4:$BM$99))</f>
        <v>0</v>
      </c>
      <c r="AQ16" s="5">
        <f>SUMIF($BN$4:$BN$99,'Dummy Table'!$AF16,$BM$4:$BM$99)</f>
        <v>0</v>
      </c>
      <c r="AR16" s="5">
        <f>SUMIF($BN$4:$BN$99,'Dummy Table'!$AF16,$BL$4:$BL$99)</f>
        <v>0</v>
      </c>
      <c r="AS16" s="5">
        <f t="shared" si="22"/>
        <v>0</v>
      </c>
      <c r="AT16" s="5">
        <f t="shared" si="23"/>
        <v>0</v>
      </c>
      <c r="AU16" s="5">
        <f t="shared" si="24"/>
        <v>0</v>
      </c>
      <c r="AV16" s="5">
        <f t="shared" si="25"/>
        <v>0</v>
      </c>
      <c r="AW16" s="5">
        <f t="shared" si="26"/>
        <v>0</v>
      </c>
      <c r="AX16" s="5">
        <f t="shared" si="27"/>
        <v>0</v>
      </c>
      <c r="AY16" s="5">
        <f t="shared" si="28"/>
        <v>0</v>
      </c>
      <c r="AZ16" s="5">
        <f t="shared" si="29"/>
        <v>0</v>
      </c>
      <c r="BA16" s="75">
        <f t="shared" si="41"/>
        <v>0</v>
      </c>
      <c r="BB16" s="5">
        <f t="shared" si="30"/>
        <v>0</v>
      </c>
      <c r="BC16" s="5">
        <f t="shared" si="31"/>
        <v>0</v>
      </c>
      <c r="BD16" s="5">
        <f t="shared" si="32"/>
        <v>118</v>
      </c>
      <c r="BE16" s="75">
        <f>RANK(BA16,BA$16:BA$19)</f>
        <v>1</v>
      </c>
      <c r="BF16" s="75">
        <f>SUMPRODUCT((BA$16:BA$19=BA16)*(AZ$16:AZ$19&gt;AZ16))</f>
        <v>0</v>
      </c>
      <c r="BG16" s="75">
        <f>SUMPRODUCT((BA$16:BA$19=BA16)*(BE$16:BE$19=BE16)*(AZ$16:AZ$19=AZ16)*(AQ$16:AQ$19&gt;AQ16))</f>
        <v>0</v>
      </c>
      <c r="BH16" s="75">
        <f>SUMPRODUCT((BA$16:BA$19=BA16)*(BE$16:BE$19=BE16)*(AZ$16:AZ$19=AZ16)*(AQ$16:AQ$19=AQ16)*(BB$16:BB$19&gt;BB16))</f>
        <v>0</v>
      </c>
      <c r="BI16" s="75">
        <f>SUMPRODUCT((BA$16:BA$19=BA16)*(BE$16:BE$19=BE16)*(AZ$16:AZ$19=AZ16)*(AQ$16:AQ$19=AQ16)*(BB$16:BB$19=BB16)*(BC$16:BC$19&gt;BC16))</f>
        <v>0</v>
      </c>
      <c r="BJ16" s="75">
        <f>SUMPRODUCT((BA$16:BA$19=BA16)*(BE$16:BE$19=BE16)*(AZ$16:AZ$19=AZ16)*(AQ$16:AQ$19=AQ16)*(BB$16:BB$19=BB16)*(BC$16:BC$19=BC16)*(BD$16:BD$19&gt;BD16))</f>
        <v>0</v>
      </c>
      <c r="BK16" s="5" t="str">
        <f>IF(AND(COUNTIF($AF$4:$AF$35,Gruppenphase!G25)&gt;0,COUNTIF($AF$4:$AF$35,Gruppenphase!M25)&gt;0,Gruppenphase!I25&lt;&gt;"",Gruppenphase!K25&lt;&gt;""),Gruppenphase!G25,"")</f>
        <v/>
      </c>
      <c r="BL16" s="5" t="str">
        <f>IF($BK16&lt;&gt;"",Gruppenphase!I25,"")</f>
        <v/>
      </c>
      <c r="BM16" s="5" t="str">
        <f>IF($BK16&lt;&gt;"",Gruppenphase!K25,"")</f>
        <v/>
      </c>
      <c r="BN16" s="5" t="str">
        <f>IF($BK16&lt;&gt;"",Gruppenphase!M25,"")</f>
        <v/>
      </c>
      <c r="BO16" s="5">
        <f t="shared" si="2"/>
        <v>1</v>
      </c>
      <c r="BP16" s="5" t="str">
        <f t="shared" si="33"/>
        <v>Real Madrid</v>
      </c>
      <c r="BQ16" s="5">
        <f>VLOOKUP($AD16,$B$16:$W$19,22,FALSE)</f>
        <v>0</v>
      </c>
      <c r="BS16" s="5">
        <f>SUMPRODUCT(($BK$4:$BK$99='Dummy Table'!$AF16)*($BL$4:$BL$99&gt;$BM$4:$BM$99))</f>
        <v>0</v>
      </c>
      <c r="BT16" s="5">
        <f>SUMPRODUCT(($BK$4:$BK$99='Dummy Table'!$AF16)*($BL$4:$BL$99=$BM$4:$BM$99))</f>
        <v>0</v>
      </c>
      <c r="BU16" s="5">
        <f>SUMPRODUCT(($BK$4:$BK$99='Dummy Table'!$AF16)*($BL$4:$BL$99&lt;$BM$4:$BM$99))</f>
        <v>0</v>
      </c>
      <c r="BV16" s="5">
        <f>SUMIF($BK$4:$BK$99,'Dummy Table'!$AF16,$BL$4:$BL$99)</f>
        <v>0</v>
      </c>
      <c r="BW16" s="5">
        <f>SUMIF($BK$4:$BK$99,'Dummy Table'!$AF16,$BM$4:$BM$99)</f>
        <v>0</v>
      </c>
      <c r="BX16" s="5">
        <f t="shared" si="34"/>
        <v>0</v>
      </c>
      <c r="BY16" s="5" t="str">
        <f t="shared" si="35"/>
        <v/>
      </c>
      <c r="BZ16" s="5">
        <f>SUMPRODUCT(($BN$4:$BN$99='Dummy Table'!$AF16)*($BL$4:$BL$99&lt;$BM$4:$BM$99))</f>
        <v>0</v>
      </c>
      <c r="CA16" s="5">
        <f>SUMPRODUCT(($BN$4:$BN$99='Dummy Table'!$AF16)*($BL$4:$BL$99=$BM$4:$BM$99))</f>
        <v>0</v>
      </c>
      <c r="CB16" s="5">
        <f>SUMPRODUCT(($BN$4:$BN$99='Dummy Table'!$AF16)*($BL$4:$BL$99&gt;$BM$4:$BM$99))</f>
        <v>0</v>
      </c>
      <c r="CC16" s="5">
        <f>SUMIF($BN$4:$BN$99,'Dummy Table'!$AF16,$BM$4:$BM$99)</f>
        <v>0</v>
      </c>
      <c r="CD16" s="5">
        <f>SUMIF($BN$4:$BN$99,'Dummy Table'!$AF16,$BL$4:$BL$99)</f>
        <v>0</v>
      </c>
      <c r="CE16" s="5">
        <f t="shared" si="36"/>
        <v>0</v>
      </c>
      <c r="CF16" s="5" t="str">
        <f t="shared" si="37"/>
        <v/>
      </c>
      <c r="CG16" s="5">
        <f t="shared" si="38"/>
        <v>0</v>
      </c>
      <c r="CH16" s="5">
        <f t="shared" si="3"/>
        <v>0</v>
      </c>
      <c r="CI16" s="5">
        <f t="shared" si="4"/>
        <v>0</v>
      </c>
      <c r="CJ16" s="5">
        <f t="shared" si="5"/>
        <v>0</v>
      </c>
      <c r="CK16" s="5">
        <f t="shared" si="6"/>
        <v>0</v>
      </c>
      <c r="CL16" s="5">
        <f t="shared" si="7"/>
        <v>0</v>
      </c>
      <c r="CM16" s="5">
        <f t="shared" si="42"/>
        <v>-1</v>
      </c>
      <c r="CN16" s="5">
        <v>13</v>
      </c>
      <c r="CO16" s="5">
        <f>RANK(CM16,CM$16:CM$19)</f>
        <v>1</v>
      </c>
      <c r="CP16" s="5">
        <f>SUMPRODUCT((CM$16:CM$19=CM16)*(CO$16:CO$19=CO16)*(CC$16:CC$19&gt;CC16))</f>
        <v>0</v>
      </c>
      <c r="CQ16" s="5">
        <f>SUMPRODUCT((CM$16:CM$19=CM16)*(CL$16:CL$19&gt;CL16))</f>
        <v>0</v>
      </c>
      <c r="CR16" s="5">
        <f>SUMPRODUCT((CO$16:CO$19=CO16)*(CQ$16:CQ$19=CQ16)*(CJ$16:CJ$19&gt;CJ16))</f>
        <v>0</v>
      </c>
      <c r="CS16" s="5">
        <f>SUMPRODUCT((CO$16:CO$19=CO16)*(CQ$16:CQ$19=CQ16)*(CJ$16:CJ$19=CJ16)*(CN$16:CN$19&gt;CN16))</f>
        <v>3</v>
      </c>
      <c r="CT16" s="5" t="str">
        <f>IF(AND(COUNTIF($AF$4:$AF$35,Gruppenphase!$G25)&gt;0,COUNTIF($AF$4:$AF$35,Gruppenphase!$M25)&gt;0),Gruppenphase!$G25,"")</f>
        <v>Basel</v>
      </c>
      <c r="CU16" s="5" t="str">
        <f>IF($BK16&lt;&gt;"",Gruppenphase!$I25,"")</f>
        <v/>
      </c>
      <c r="CV16" s="5" t="str">
        <f>IF($BK16&lt;&gt;"",Gruppenphase!$K25,"")</f>
        <v/>
      </c>
      <c r="CW16" s="5" t="str">
        <f>IF($BK16&lt;&gt;"",Gruppenphase!$M25,"")</f>
        <v/>
      </c>
      <c r="CX16" s="5" t="str">
        <f t="shared" si="39"/>
        <v/>
      </c>
      <c r="CY16" s="5" t="str">
        <f t="shared" si="40"/>
        <v/>
      </c>
      <c r="CZ16" s="5">
        <v>1</v>
      </c>
      <c r="DA16" s="5" t="str">
        <f t="shared" si="43"/>
        <v/>
      </c>
      <c r="DB16" s="5">
        <f>IF(DA16="",CZ16,"")</f>
        <v>1</v>
      </c>
      <c r="DC16" s="5" t="str">
        <f>VLOOKUP(DB16,$BO$16:$BP$19,2,FALSE)</f>
        <v>Real Madrid</v>
      </c>
      <c r="DD16" s="5">
        <v>1</v>
      </c>
      <c r="DE16" s="5" t="str">
        <f>IF(DA16="",DC16,DA16)</f>
        <v>Real Madrid</v>
      </c>
    </row>
    <row r="17" spans="1:109" x14ac:dyDescent="0.2">
      <c r="A17" s="5">
        <f t="shared" si="8"/>
        <v>2</v>
      </c>
      <c r="B17" s="5" t="str">
        <f>'Club Namen'!B16</f>
        <v>Lyon</v>
      </c>
      <c r="C17" s="5">
        <f>SUMPRODUCT((Gruppenphase!$I$13:$I$108&lt;&gt;"")*(Gruppenphase!$K$13:$K$108&lt;&gt;"")*(Gruppenphase!$G$13:$G$108='Dummy Table'!$B17)*(Gruppenphase!$I$13:$I$108&gt;Gruppenphase!$K$13:$K$108))</f>
        <v>0</v>
      </c>
      <c r="D17" s="5">
        <f>SUMPRODUCT((Gruppenphase!$I$13:$I$108&lt;&gt;"")*(Gruppenphase!$K$13:$K$108&lt;&gt;"")*(Gruppenphase!$G$13:$G$108='Dummy Table'!$B17)*(Gruppenphase!$I$13:$I$108=Gruppenphase!$K$13:$K$108))</f>
        <v>0</v>
      </c>
      <c r="E17" s="5">
        <f>SUMPRODUCT((Gruppenphase!$I$13:$I$108&lt;&gt;"")*(Gruppenphase!$K$13:$K$108&lt;&gt;"")*(Gruppenphase!$G$13:$G$108='Dummy Table'!$B17)*(Gruppenphase!$I$13:$I$108&lt;Gruppenphase!$K$13:$K$108))</f>
        <v>0</v>
      </c>
      <c r="F17" s="5">
        <f>SUMIF(Gruppenphase!$G$13:$G$108,'Dummy Table'!$B17,Gruppenphase!$I$13:$I$108)</f>
        <v>0</v>
      </c>
      <c r="G17" s="5">
        <f>SUMIF(Gruppenphase!$G$13:$G$108,'Dummy Table'!$B17,Gruppenphase!$K$13:$K$108)</f>
        <v>0</v>
      </c>
      <c r="H17" s="5">
        <f t="shared" si="9"/>
        <v>0</v>
      </c>
      <c r="I17" s="5">
        <f t="shared" si="10"/>
        <v>0</v>
      </c>
      <c r="J17" s="5">
        <f>SUMPRODUCT((Gruppenphase!$I$13:$I$108&lt;&gt;"")*(Gruppenphase!$K$13:$K$108&lt;&gt;"")*(Gruppenphase!$M$13:$M$108='Dummy Table'!$B17)*(Gruppenphase!$I$13:$I$108&lt;Gruppenphase!$K$13:$K$108))</f>
        <v>0</v>
      </c>
      <c r="K17" s="5">
        <f>SUMPRODUCT((Gruppenphase!$I$13:$I$108&lt;&gt;"")*(Gruppenphase!$K$13:$K$108&lt;&gt;"")*(Gruppenphase!$M$13:$M$108='Dummy Table'!$B17)*(Gruppenphase!$I$13:$I$108=Gruppenphase!$K$13:$K$108))</f>
        <v>0</v>
      </c>
      <c r="L17" s="5">
        <f>SUMPRODUCT((Gruppenphase!$I$13:$I$108&lt;&gt;"")*(Gruppenphase!$K$13:$K$108&lt;&gt;"")*(Gruppenphase!$M$13:$M$108='Dummy Table'!$B17)*(Gruppenphase!$I$13:$I$108&gt;Gruppenphase!$K$13:$K$108))</f>
        <v>0</v>
      </c>
      <c r="M17" s="5">
        <f>SUMIF(Gruppenphase!$M$13:$M$108,'Dummy Table'!$B17,Gruppenphase!$K$13:$K$108)</f>
        <v>0</v>
      </c>
      <c r="N17" s="5">
        <f>SUMIF(Gruppenphase!$M$13:$M$108,'Dummy Table'!$B17,Gruppenphase!$I$13:$I$108)</f>
        <v>0</v>
      </c>
      <c r="O17" s="5">
        <f t="shared" si="11"/>
        <v>0</v>
      </c>
      <c r="P17" s="5">
        <f t="shared" si="12"/>
        <v>0</v>
      </c>
      <c r="Q17" s="5">
        <f t="shared" si="13"/>
        <v>0</v>
      </c>
      <c r="R17" s="5">
        <f t="shared" si="14"/>
        <v>0</v>
      </c>
      <c r="S17" s="5">
        <f t="shared" si="15"/>
        <v>0</v>
      </c>
      <c r="T17" s="5">
        <f t="shared" si="16"/>
        <v>0</v>
      </c>
      <c r="U17" s="5">
        <f t="shared" si="17"/>
        <v>0</v>
      </c>
      <c r="V17" s="5">
        <f t="shared" si="18"/>
        <v>0</v>
      </c>
      <c r="W17" s="5">
        <f t="shared" si="19"/>
        <v>0</v>
      </c>
      <c r="X17" s="5">
        <v>68</v>
      </c>
      <c r="Y17" s="5">
        <f>RANK(W17,W$16:W$19)</f>
        <v>1</v>
      </c>
      <c r="Z17" s="5">
        <f>SUMPRODUCT((W$16:W$19=W17)*(V$16:V$19&gt;V17))</f>
        <v>0</v>
      </c>
      <c r="AA17" s="5">
        <f>SUMPRODUCT((Y$16:Y$19=Y17)*(Z$16:Z$19=Z17)*(T$16:T$19&gt;T17))</f>
        <v>0</v>
      </c>
      <c r="AB17" s="5">
        <f>SUMPRODUCT((Y$16:Y$19=Y17)*(Z$16:Z$19=Z17)*(T$16:T$19=T17)*(X$16:X$19&gt;X17))</f>
        <v>1</v>
      </c>
      <c r="AC17" s="5">
        <v>2</v>
      </c>
      <c r="AD17" s="5" t="str">
        <f>VLOOKUP(AC17,$A$16:$B$19,2,FALSE)</f>
        <v>Lyon</v>
      </c>
      <c r="AE17" s="5">
        <f>VLOOKUP($AD17,$B$16:$W$19,22,FALSE)</f>
        <v>0</v>
      </c>
      <c r="AF17" s="5" t="str">
        <f>IF(OR(AE17=AE16,AE17=AE18),AD17,"")</f>
        <v>Lyon</v>
      </c>
      <c r="AG17" s="5">
        <f>SUMPRODUCT(($BK$4:$BK$99='Dummy Table'!$AF17)*($BL$4:$BL$99&gt;$BM$4:$BM$99))</f>
        <v>0</v>
      </c>
      <c r="AH17" s="5">
        <f>SUMPRODUCT(($BK$4:$BK$99='Dummy Table'!$AF17)*($BL$4:$BL$99=$BM$4:$BM$99))</f>
        <v>0</v>
      </c>
      <c r="AI17" s="5">
        <f>SUMPRODUCT(($BK$4:$BK$99='Dummy Table'!$AF17)*($BL$4:$BL$99&lt;$BM$4:$BM$99))</f>
        <v>0</v>
      </c>
      <c r="AJ17" s="5">
        <f>SUMIF($BK$4:$BK$99,'Dummy Table'!$AF17,$BL$4:$BL$99)</f>
        <v>0</v>
      </c>
      <c r="AK17" s="5">
        <f>SUMIF($BK$4:$BK$99,'Dummy Table'!$AF17,$BM$4:$BM$99)</f>
        <v>0</v>
      </c>
      <c r="AL17" s="5">
        <f t="shared" si="20"/>
        <v>0</v>
      </c>
      <c r="AM17" s="5">
        <f t="shared" si="21"/>
        <v>0</v>
      </c>
      <c r="AN17" s="5">
        <f>SUMPRODUCT(($BN$4:$BN$99='Dummy Table'!$AF17)*($BL$4:$BL$99&lt;$BM$4:$BM$99))</f>
        <v>0</v>
      </c>
      <c r="AO17" s="5">
        <f>SUMPRODUCT(($BN$4:$BN$99='Dummy Table'!$AF17)*($BL$4:$BL$99=$BM$4:$BM$99))</f>
        <v>0</v>
      </c>
      <c r="AP17" s="5">
        <f>SUMPRODUCT(($BN$4:$BN$99='Dummy Table'!$AF17)*($BL$4:$BL$99&gt;$BM$4:$BM$99))</f>
        <v>0</v>
      </c>
      <c r="AQ17" s="5">
        <f>SUMIF($BN$4:$BN$99,'Dummy Table'!$AF17,$BM$4:$BM$99)</f>
        <v>0</v>
      </c>
      <c r="AR17" s="5">
        <f>SUMIF($BN$4:$BN$99,'Dummy Table'!$AF17,$BL$4:$BL$99)</f>
        <v>0</v>
      </c>
      <c r="AS17" s="5">
        <f t="shared" si="22"/>
        <v>0</v>
      </c>
      <c r="AT17" s="5">
        <f t="shared" si="23"/>
        <v>0</v>
      </c>
      <c r="AU17" s="5">
        <f t="shared" si="24"/>
        <v>0</v>
      </c>
      <c r="AV17" s="5">
        <f t="shared" si="25"/>
        <v>0</v>
      </c>
      <c r="AW17" s="5">
        <f t="shared" si="26"/>
        <v>0</v>
      </c>
      <c r="AX17" s="5">
        <f t="shared" si="27"/>
        <v>0</v>
      </c>
      <c r="AY17" s="5">
        <f t="shared" si="28"/>
        <v>0</v>
      </c>
      <c r="AZ17" s="5">
        <f t="shared" si="29"/>
        <v>0</v>
      </c>
      <c r="BA17" s="75">
        <f t="shared" si="41"/>
        <v>0</v>
      </c>
      <c r="BB17" s="5">
        <f t="shared" si="30"/>
        <v>0</v>
      </c>
      <c r="BC17" s="5">
        <f t="shared" si="31"/>
        <v>0</v>
      </c>
      <c r="BD17" s="5">
        <f t="shared" si="32"/>
        <v>68</v>
      </c>
      <c r="BE17" s="75">
        <f>RANK(BA17,BA$16:BA$19)</f>
        <v>1</v>
      </c>
      <c r="BF17" s="75">
        <f>SUMPRODUCT((BA$16:BA$19=BA17)*(AZ$16:AZ$19&gt;AZ17))</f>
        <v>0</v>
      </c>
      <c r="BG17" s="75">
        <f>SUMPRODUCT((BA$16:BA$19=BA17)*(BE$16:BE$19=BE17)*(AZ$16:AZ$19=AZ17)*(AQ$16:AQ$19&gt;AQ17))</f>
        <v>0</v>
      </c>
      <c r="BH17" s="75">
        <f>SUMPRODUCT((BA$16:BA$19=BA17)*(BE$16:BE$19=BE17)*(AZ$16:AZ$19=AZ17)*(AQ$16:AQ$19=AQ17)*(BB$16:BB$19&gt;BB17))</f>
        <v>0</v>
      </c>
      <c r="BI17" s="75">
        <f>SUMPRODUCT((BA$16:BA$19=BA17)*(BE$16:BE$19=BE17)*(AZ$16:AZ$19=AZ17)*(AQ$16:AQ$19=AQ17)*(BB$16:BB$19=BB17)*(BC$16:BC$19&gt;BC17))</f>
        <v>0</v>
      </c>
      <c r="BJ17" s="75">
        <f>SUMPRODUCT((BA$16:BA$19=BA17)*(BE$16:BE$19=BE17)*(AZ$16:AZ$19=AZ17)*(AQ$16:AQ$19=AQ17)*(BB$16:BB$19=BB17)*(BC$16:BC$19=BC17)*(BD$16:BD$19&gt;BD17))</f>
        <v>1</v>
      </c>
      <c r="BK17" s="5" t="str">
        <f>IF(AND(COUNTIF($AF$4:$AF$35,Gruppenphase!G26)&gt;0,COUNTIF($AF$4:$AF$35,Gruppenphase!M26)&gt;0,Gruppenphase!I26&lt;&gt;"",Gruppenphase!K26&lt;&gt;""),Gruppenphase!G26,"")</f>
        <v/>
      </c>
      <c r="BL17" s="5" t="str">
        <f>IF($BK17&lt;&gt;"",Gruppenphase!I26,"")</f>
        <v/>
      </c>
      <c r="BM17" s="5" t="str">
        <f>IF($BK17&lt;&gt;"",Gruppenphase!K26,"")</f>
        <v/>
      </c>
      <c r="BN17" s="5" t="str">
        <f>IF($BK17&lt;&gt;"",Gruppenphase!M26,"")</f>
        <v/>
      </c>
      <c r="BO17" s="5">
        <f t="shared" si="2"/>
        <v>2</v>
      </c>
      <c r="BP17" s="5" t="str">
        <f t="shared" si="33"/>
        <v>Lyon</v>
      </c>
      <c r="BQ17" s="5">
        <f>VLOOKUP($AD17,$B$16:$W$19,22,FALSE)</f>
        <v>0</v>
      </c>
      <c r="BS17" s="5">
        <f>SUMPRODUCT(($BK$4:$BK$99='Dummy Table'!$AF17)*($BL$4:$BL$99&gt;$BM$4:$BM$99))</f>
        <v>0</v>
      </c>
      <c r="BT17" s="5">
        <f>SUMPRODUCT(($BK$4:$BK$99='Dummy Table'!$AF17)*($BL$4:$BL$99=$BM$4:$BM$99))</f>
        <v>0</v>
      </c>
      <c r="BU17" s="5">
        <f>SUMPRODUCT(($BK$4:$BK$99='Dummy Table'!$AF17)*($BL$4:$BL$99&lt;$BM$4:$BM$99))</f>
        <v>0</v>
      </c>
      <c r="BV17" s="5">
        <f>SUMIF($BK$4:$BK$99,'Dummy Table'!$AF17,$BL$4:$BL$99)</f>
        <v>0</v>
      </c>
      <c r="BW17" s="5">
        <f>SUMIF($BK$4:$BK$99,'Dummy Table'!$AF17,$BM$4:$BM$99)</f>
        <v>0</v>
      </c>
      <c r="BX17" s="5">
        <f t="shared" si="34"/>
        <v>0</v>
      </c>
      <c r="BY17" s="5" t="str">
        <f t="shared" si="35"/>
        <v/>
      </c>
      <c r="BZ17" s="5">
        <f>SUMPRODUCT(($BN$4:$BN$99='Dummy Table'!$AF17)*($BL$4:$BL$99&lt;$BM$4:$BM$99))</f>
        <v>0</v>
      </c>
      <c r="CA17" s="5">
        <f>SUMPRODUCT(($BN$4:$BN$99='Dummy Table'!$AF17)*($BL$4:$BL$99=$BM$4:$BM$99))</f>
        <v>0</v>
      </c>
      <c r="CB17" s="5">
        <f>SUMPRODUCT(($BN$4:$BN$99='Dummy Table'!$AF17)*($BL$4:$BL$99&gt;$BM$4:$BM$99))</f>
        <v>0</v>
      </c>
      <c r="CC17" s="5">
        <f>SUMIF($BN$4:$BN$99,'Dummy Table'!$AF17,$BM$4:$BM$99)</f>
        <v>0</v>
      </c>
      <c r="CD17" s="5">
        <f>SUMIF($BN$4:$BN$99,'Dummy Table'!$AF17,$BL$4:$BL$99)</f>
        <v>0</v>
      </c>
      <c r="CE17" s="5">
        <f t="shared" si="36"/>
        <v>0</v>
      </c>
      <c r="CF17" s="5" t="str">
        <f t="shared" si="37"/>
        <v/>
      </c>
      <c r="CG17" s="5">
        <f t="shared" si="38"/>
        <v>0</v>
      </c>
      <c r="CH17" s="5">
        <f t="shared" si="3"/>
        <v>0</v>
      </c>
      <c r="CI17" s="5">
        <f t="shared" si="4"/>
        <v>0</v>
      </c>
      <c r="CJ17" s="5">
        <f t="shared" si="5"/>
        <v>0</v>
      </c>
      <c r="CK17" s="5">
        <f t="shared" si="6"/>
        <v>0</v>
      </c>
      <c r="CL17" s="5">
        <f t="shared" si="7"/>
        <v>0</v>
      </c>
      <c r="CM17" s="5">
        <f t="shared" si="42"/>
        <v>-1</v>
      </c>
      <c r="CN17" s="5">
        <v>14</v>
      </c>
      <c r="CO17" s="5">
        <f>RANK(CM17,CM$16:CM$19)</f>
        <v>1</v>
      </c>
      <c r="CP17" s="5">
        <f>SUMPRODUCT((CM$16:CM$19=CM17)*(CO$16:CO$19=CO17)*(CC$16:CC$19&gt;CC17))</f>
        <v>0</v>
      </c>
      <c r="CQ17" s="5">
        <f>SUMPRODUCT((CM$16:CM$19=CM17)*(CL$16:CL$19&gt;CL17))</f>
        <v>0</v>
      </c>
      <c r="CR17" s="5">
        <f>SUMPRODUCT((CO$16:CO$19=CO17)*(CQ$16:CQ$19=CQ17)*(CJ$16:CJ$19&gt;CJ17))</f>
        <v>0</v>
      </c>
      <c r="CS17" s="5">
        <f>SUMPRODUCT((CO$16:CO$19=CO17)*(CQ$16:CQ$19=CQ17)*(CJ$16:CJ$19=CJ17)*(CN$16:CN$19&gt;CN17))</f>
        <v>2</v>
      </c>
      <c r="CT17" s="5" t="str">
        <f>IF(AND(COUNTIF($AF$4:$AF$35,Gruppenphase!$G26)&gt;0,COUNTIF($AF$4:$AF$35,Gruppenphase!$M26)&gt;0),Gruppenphase!$G26,"")</f>
        <v>Benfica</v>
      </c>
      <c r="CU17" s="5" t="str">
        <f>IF($BK17&lt;&gt;"",Gruppenphase!$I26,"")</f>
        <v/>
      </c>
      <c r="CV17" s="5" t="str">
        <f>IF($BK17&lt;&gt;"",Gruppenphase!$K26,"")</f>
        <v/>
      </c>
      <c r="CW17" s="5" t="str">
        <f>IF($BK17&lt;&gt;"",Gruppenphase!$M26,"")</f>
        <v/>
      </c>
      <c r="CX17" s="5" t="str">
        <f t="shared" si="39"/>
        <v/>
      </c>
      <c r="CY17" s="5" t="str">
        <f t="shared" si="40"/>
        <v/>
      </c>
      <c r="CZ17" s="5">
        <v>2</v>
      </c>
      <c r="DA17" s="5" t="str">
        <f t="shared" si="43"/>
        <v/>
      </c>
      <c r="DB17" s="5">
        <f>IF(AND(DA17="",DA16=""),CZ17,IF(AND(DA16&lt;&gt;"",DA17=""),1,""))</f>
        <v>2</v>
      </c>
      <c r="DC17" s="5" t="str">
        <f>VLOOKUP(DB17,$BO$16:$BP$19,2,FALSE)</f>
        <v>Lyon</v>
      </c>
      <c r="DD17" s="5">
        <v>2</v>
      </c>
      <c r="DE17" s="5" t="str">
        <f>IF(DA17="",DC17,DA17)</f>
        <v>Lyon</v>
      </c>
    </row>
    <row r="18" spans="1:109" x14ac:dyDescent="0.2">
      <c r="A18" s="5">
        <f t="shared" si="8"/>
        <v>3</v>
      </c>
      <c r="B18" s="5" t="str">
        <f>'Club Namen'!B17</f>
        <v>Ajax</v>
      </c>
      <c r="C18" s="5">
        <f>SUMPRODUCT((Gruppenphase!$I$13:$I$108&lt;&gt;"")*(Gruppenphase!$K$13:$K$108&lt;&gt;"")*(Gruppenphase!$G$13:$G$108='Dummy Table'!$B18)*(Gruppenphase!$I$13:$I$108&gt;Gruppenphase!$K$13:$K$108))</f>
        <v>0</v>
      </c>
      <c r="D18" s="5">
        <f>SUMPRODUCT((Gruppenphase!$I$13:$I$108&lt;&gt;"")*(Gruppenphase!$K$13:$K$108&lt;&gt;"")*(Gruppenphase!$G$13:$G$108='Dummy Table'!$B18)*(Gruppenphase!$I$13:$I$108=Gruppenphase!$K$13:$K$108))</f>
        <v>0</v>
      </c>
      <c r="E18" s="5">
        <f>SUMPRODUCT((Gruppenphase!$I$13:$I$108&lt;&gt;"")*(Gruppenphase!$K$13:$K$108&lt;&gt;"")*(Gruppenphase!$G$13:$G$108='Dummy Table'!$B18)*(Gruppenphase!$I$13:$I$108&lt;Gruppenphase!$K$13:$K$108))</f>
        <v>0</v>
      </c>
      <c r="F18" s="5">
        <f>SUMIF(Gruppenphase!$G$13:$G$108,'Dummy Table'!$B18,Gruppenphase!$I$13:$I$108)</f>
        <v>0</v>
      </c>
      <c r="G18" s="5">
        <f>SUMIF(Gruppenphase!$G$13:$G$108,'Dummy Table'!$B18,Gruppenphase!$K$13:$K$108)</f>
        <v>0</v>
      </c>
      <c r="H18" s="5">
        <f t="shared" si="9"/>
        <v>0</v>
      </c>
      <c r="I18" s="5">
        <f t="shared" si="10"/>
        <v>0</v>
      </c>
      <c r="J18" s="5">
        <f>SUMPRODUCT((Gruppenphase!$I$13:$I$108&lt;&gt;"")*(Gruppenphase!$K$13:$K$108&lt;&gt;"")*(Gruppenphase!$M$13:$M$108='Dummy Table'!$B18)*(Gruppenphase!$I$13:$I$108&lt;Gruppenphase!$K$13:$K$108))</f>
        <v>0</v>
      </c>
      <c r="K18" s="5">
        <f>SUMPRODUCT((Gruppenphase!$I$13:$I$108&lt;&gt;"")*(Gruppenphase!$K$13:$K$108&lt;&gt;"")*(Gruppenphase!$M$13:$M$108='Dummy Table'!$B18)*(Gruppenphase!$I$13:$I$108=Gruppenphase!$K$13:$K$108))</f>
        <v>0</v>
      </c>
      <c r="L18" s="5">
        <f>SUMPRODUCT((Gruppenphase!$I$13:$I$108&lt;&gt;"")*(Gruppenphase!$K$13:$K$108&lt;&gt;"")*(Gruppenphase!$M$13:$M$108='Dummy Table'!$B18)*(Gruppenphase!$I$13:$I$108&gt;Gruppenphase!$K$13:$K$108))</f>
        <v>0</v>
      </c>
      <c r="M18" s="5">
        <f>SUMIF(Gruppenphase!$M$13:$M$108,'Dummy Table'!$B18,Gruppenphase!$K$13:$K$108)</f>
        <v>0</v>
      </c>
      <c r="N18" s="5">
        <f>SUMIF(Gruppenphase!$M$13:$M$108,'Dummy Table'!$B18,Gruppenphase!$I$13:$I$108)</f>
        <v>0</v>
      </c>
      <c r="O18" s="5">
        <f t="shared" si="11"/>
        <v>0</v>
      </c>
      <c r="P18" s="5">
        <f t="shared" si="12"/>
        <v>0</v>
      </c>
      <c r="Q18" s="5">
        <f t="shared" si="13"/>
        <v>0</v>
      </c>
      <c r="R18" s="5">
        <f t="shared" si="14"/>
        <v>0</v>
      </c>
      <c r="S18" s="5">
        <f t="shared" si="15"/>
        <v>0</v>
      </c>
      <c r="T18" s="5">
        <f t="shared" si="16"/>
        <v>0</v>
      </c>
      <c r="U18" s="5">
        <f t="shared" si="17"/>
        <v>0</v>
      </c>
      <c r="V18" s="5">
        <f t="shared" si="18"/>
        <v>0</v>
      </c>
      <c r="W18" s="5">
        <f t="shared" si="19"/>
        <v>0</v>
      </c>
      <c r="X18" s="5">
        <v>41</v>
      </c>
      <c r="Y18" s="5">
        <f>RANK(W18,W$16:W$19)</f>
        <v>1</v>
      </c>
      <c r="Z18" s="5">
        <f>SUMPRODUCT((W$16:W$19=W18)*(V$16:V$19&gt;V18))</f>
        <v>0</v>
      </c>
      <c r="AA18" s="5">
        <f>SUMPRODUCT((Y$16:Y$19=Y18)*(Z$16:Z$19=Z18)*(T$16:T$19&gt;T18))</f>
        <v>0</v>
      </c>
      <c r="AB18" s="5">
        <f>SUMPRODUCT((Y$16:Y$19=Y18)*(Z$16:Z$19=Z18)*(T$16:T$19=T18)*(X$16:X$19&gt;X18))</f>
        <v>2</v>
      </c>
      <c r="AC18" s="5">
        <v>3</v>
      </c>
      <c r="AD18" s="5" t="str">
        <f>VLOOKUP(AC18,$A$16:$B$19,2,FALSE)</f>
        <v>Ajax</v>
      </c>
      <c r="AE18" s="5">
        <f>VLOOKUP($AD18,$B$16:$W$19,22,FALSE)</f>
        <v>0</v>
      </c>
      <c r="AF18" s="5" t="str">
        <f>IF(AE18=AE17,AD18,"")</f>
        <v>Ajax</v>
      </c>
      <c r="AG18" s="5">
        <f>SUMPRODUCT(($BK$4:$BK$99='Dummy Table'!$AF18)*($BL$4:$BL$99&gt;$BM$4:$BM$99))</f>
        <v>0</v>
      </c>
      <c r="AH18" s="5">
        <f>SUMPRODUCT(($BK$4:$BK$99='Dummy Table'!$AF18)*($BL$4:$BL$99=$BM$4:$BM$99))</f>
        <v>0</v>
      </c>
      <c r="AI18" s="5">
        <f>SUMPRODUCT(($BK$4:$BK$99='Dummy Table'!$AF18)*($BL$4:$BL$99&lt;$BM$4:$BM$99))</f>
        <v>0</v>
      </c>
      <c r="AJ18" s="5">
        <f>SUMIF($BK$4:$BK$99,'Dummy Table'!$AF18,$BL$4:$BL$99)</f>
        <v>0</v>
      </c>
      <c r="AK18" s="5">
        <f>SUMIF($BK$4:$BK$99,'Dummy Table'!$AF18,$BM$4:$BM$99)</f>
        <v>0</v>
      </c>
      <c r="AL18" s="5">
        <f t="shared" si="20"/>
        <v>0</v>
      </c>
      <c r="AM18" s="5">
        <f t="shared" si="21"/>
        <v>0</v>
      </c>
      <c r="AN18" s="5">
        <f>SUMPRODUCT(($BN$4:$BN$99='Dummy Table'!$AF18)*($BL$4:$BL$99&lt;$BM$4:$BM$99))</f>
        <v>0</v>
      </c>
      <c r="AO18" s="5">
        <f>SUMPRODUCT(($BN$4:$BN$99='Dummy Table'!$AF18)*($BL$4:$BL$99=$BM$4:$BM$99))</f>
        <v>0</v>
      </c>
      <c r="AP18" s="5">
        <f>SUMPRODUCT(($BN$4:$BN$99='Dummy Table'!$AF18)*($BL$4:$BL$99&gt;$BM$4:$BM$99))</f>
        <v>0</v>
      </c>
      <c r="AQ18" s="5">
        <f>SUMIF($BN$4:$BN$99,'Dummy Table'!$AF18,$BM$4:$BM$99)</f>
        <v>0</v>
      </c>
      <c r="AR18" s="5">
        <f>SUMIF($BN$4:$BN$99,'Dummy Table'!$AF18,$BL$4:$BL$99)</f>
        <v>0</v>
      </c>
      <c r="AS18" s="5">
        <f t="shared" si="22"/>
        <v>0</v>
      </c>
      <c r="AT18" s="5">
        <f t="shared" si="23"/>
        <v>0</v>
      </c>
      <c r="AU18" s="5">
        <f t="shared" si="24"/>
        <v>0</v>
      </c>
      <c r="AV18" s="5">
        <f t="shared" si="25"/>
        <v>0</v>
      </c>
      <c r="AW18" s="5">
        <f t="shared" si="26"/>
        <v>0</v>
      </c>
      <c r="AX18" s="5">
        <f t="shared" si="27"/>
        <v>0</v>
      </c>
      <c r="AY18" s="5">
        <f t="shared" si="28"/>
        <v>0</v>
      </c>
      <c r="AZ18" s="5">
        <f t="shared" si="29"/>
        <v>0</v>
      </c>
      <c r="BA18" s="75">
        <f t="shared" si="41"/>
        <v>0</v>
      </c>
      <c r="BB18" s="5">
        <f t="shared" si="30"/>
        <v>0</v>
      </c>
      <c r="BC18" s="5">
        <f t="shared" si="31"/>
        <v>0</v>
      </c>
      <c r="BD18" s="5">
        <f t="shared" si="32"/>
        <v>41</v>
      </c>
      <c r="BE18" s="75">
        <f>RANK(BA18,BA$16:BA$19)</f>
        <v>1</v>
      </c>
      <c r="BF18" s="75">
        <f>SUMPRODUCT((BA$16:BA$19=BA18)*(AZ$16:AZ$19&gt;AZ18))</f>
        <v>0</v>
      </c>
      <c r="BG18" s="75">
        <f>SUMPRODUCT((BA$16:BA$19=BA18)*(BE$16:BE$19=BE18)*(AZ$16:AZ$19=AZ18)*(AQ$16:AQ$19&gt;AQ18))</f>
        <v>0</v>
      </c>
      <c r="BH18" s="75">
        <f>SUMPRODUCT((BA$16:BA$19=BA18)*(BE$16:BE$19=BE18)*(AZ$16:AZ$19=AZ18)*(AQ$16:AQ$19=AQ18)*(BB$16:BB$19&gt;BB18))</f>
        <v>0</v>
      </c>
      <c r="BI18" s="75">
        <f>SUMPRODUCT((BA$16:BA$19=BA18)*(BE$16:BE$19=BE18)*(AZ$16:AZ$19=AZ18)*(AQ$16:AQ$19=AQ18)*(BB$16:BB$19=BB18)*(BC$16:BC$19&gt;BC18))</f>
        <v>0</v>
      </c>
      <c r="BJ18" s="75">
        <f>SUMPRODUCT((BA$16:BA$19=BA18)*(BE$16:BE$19=BE18)*(AZ$16:AZ$19=AZ18)*(AQ$16:AQ$19=AQ18)*(BB$16:BB$19=BB18)*(BC$16:BC$19=BC18)*(BD$16:BD$19&gt;BD18))</f>
        <v>2</v>
      </c>
      <c r="BK18" s="5" t="str">
        <f>IF(AND(COUNTIF($AF$4:$AF$35,Gruppenphase!G27)&gt;0,COUNTIF($AF$4:$AF$35,Gruppenphase!M27)&gt;0,Gruppenphase!I27&lt;&gt;"",Gruppenphase!K27&lt;&gt;""),Gruppenphase!G27,"")</f>
        <v/>
      </c>
      <c r="BL18" s="5" t="str">
        <f>IF($BK18&lt;&gt;"",Gruppenphase!I27,"")</f>
        <v/>
      </c>
      <c r="BM18" s="5" t="str">
        <f>IF($BK18&lt;&gt;"",Gruppenphase!K27,"")</f>
        <v/>
      </c>
      <c r="BN18" s="5" t="str">
        <f>IF($BK18&lt;&gt;"",Gruppenphase!M27,"")</f>
        <v/>
      </c>
      <c r="BO18" s="5">
        <f t="shared" si="2"/>
        <v>3</v>
      </c>
      <c r="BP18" s="5" t="str">
        <f t="shared" si="33"/>
        <v>Ajax</v>
      </c>
      <c r="BQ18" s="5">
        <f>VLOOKUP($AD18,$B$16:$W$19,22,FALSE)</f>
        <v>0</v>
      </c>
      <c r="BR18" s="5" t="str">
        <f>IF(AND(BQ18&lt;&gt;BQ17,BQ18=BQ19),AD18,"")</f>
        <v/>
      </c>
      <c r="BS18" s="5">
        <f>SUMPRODUCT(($BK$4:$BK$99='Dummy Table'!$AF18)*($BL$4:$BL$99&gt;$BM$4:$BM$99))</f>
        <v>0</v>
      </c>
      <c r="BT18" s="5">
        <f>SUMPRODUCT(($BK$4:$BK$99='Dummy Table'!$AF18)*($BL$4:$BL$99=$BM$4:$BM$99))</f>
        <v>0</v>
      </c>
      <c r="BU18" s="5">
        <f>SUMPRODUCT(($BK$4:$BK$99='Dummy Table'!$AF18)*($BL$4:$BL$99&lt;$BM$4:$BM$99))</f>
        <v>0</v>
      </c>
      <c r="BV18" s="5">
        <f>SUMIF($BK$4:$BK$99,'Dummy Table'!$AF18,$BL$4:$BL$99)</f>
        <v>0</v>
      </c>
      <c r="BW18" s="5">
        <f>SUMIF($BK$4:$BK$99,'Dummy Table'!$AF18,$BM$4:$BM$99)</f>
        <v>0</v>
      </c>
      <c r="BX18" s="5">
        <f t="shared" si="34"/>
        <v>0</v>
      </c>
      <c r="BY18" s="5" t="str">
        <f t="shared" si="35"/>
        <v/>
      </c>
      <c r="BZ18" s="5">
        <f>SUMPRODUCT(($BN$4:$BN$99='Dummy Table'!$AF18)*($BL$4:$BL$99&lt;$BM$4:$BM$99))</f>
        <v>0</v>
      </c>
      <c r="CA18" s="5">
        <f>SUMPRODUCT(($BN$4:$BN$99='Dummy Table'!$AF18)*($BL$4:$BL$99=$BM$4:$BM$99))</f>
        <v>0</v>
      </c>
      <c r="CB18" s="5">
        <f>SUMPRODUCT(($BN$4:$BN$99='Dummy Table'!$AF18)*($BL$4:$BL$99&gt;$BM$4:$BM$99))</f>
        <v>0</v>
      </c>
      <c r="CC18" s="5">
        <f>SUMIF($BN$4:$BN$99,'Dummy Table'!$AF18,$BM$4:$BM$99)</f>
        <v>0</v>
      </c>
      <c r="CD18" s="5">
        <f>SUMIF($BN$4:$BN$99,'Dummy Table'!$AF18,$BL$4:$BL$99)</f>
        <v>0</v>
      </c>
      <c r="CE18" s="5">
        <f t="shared" si="36"/>
        <v>0</v>
      </c>
      <c r="CF18" s="5" t="str">
        <f t="shared" si="37"/>
        <v/>
      </c>
      <c r="CG18" s="5">
        <f t="shared" si="38"/>
        <v>0</v>
      </c>
      <c r="CH18" s="5">
        <f t="shared" si="3"/>
        <v>0</v>
      </c>
      <c r="CI18" s="5">
        <f t="shared" si="4"/>
        <v>0</v>
      </c>
      <c r="CJ18" s="5">
        <f t="shared" si="5"/>
        <v>0</v>
      </c>
      <c r="CK18" s="5">
        <f t="shared" si="6"/>
        <v>0</v>
      </c>
      <c r="CL18" s="5">
        <f t="shared" si="7"/>
        <v>0</v>
      </c>
      <c r="CM18" s="5">
        <f t="shared" si="42"/>
        <v>-1</v>
      </c>
      <c r="CN18" s="5">
        <v>15</v>
      </c>
      <c r="CO18" s="5">
        <f>RANK(CM18,CM$16:CM$19)</f>
        <v>1</v>
      </c>
      <c r="CP18" s="5">
        <f>SUMPRODUCT((CM$16:CM$19=CM18)*(CO$16:CO$19=CO18)*(CC$16:CC$19&gt;CC18))</f>
        <v>0</v>
      </c>
      <c r="CQ18" s="5">
        <f>SUMPRODUCT((CM$16:CM$19=CM18)*(CL$16:CL$19&gt;CL18))</f>
        <v>0</v>
      </c>
      <c r="CR18" s="5">
        <f>SUMPRODUCT((CO$16:CO$19=CO18)*(CQ$16:CQ$19=CQ18)*(CJ$16:CJ$19&gt;CJ18))</f>
        <v>0</v>
      </c>
      <c r="CS18" s="5">
        <f>SUMPRODUCT((CO$16:CO$19=CO18)*(CQ$16:CQ$19=CQ18)*(CJ$16:CJ$19=CJ18)*(CN$16:CN$19&gt;CN18))</f>
        <v>1</v>
      </c>
      <c r="CT18" s="5" t="str">
        <f>IF(AND(COUNTIF($AF$4:$AF$35,Gruppenphase!$G27)&gt;0,COUNTIF($AF$4:$AF$35,Gruppenphase!$M27)&gt;0),Gruppenphase!$G27,"")</f>
        <v>Dinamo Zagreb</v>
      </c>
      <c r="CU18" s="5" t="str">
        <f>IF($BK18&lt;&gt;"",Gruppenphase!$I27,"")</f>
        <v/>
      </c>
      <c r="CV18" s="5" t="str">
        <f>IF($BK18&lt;&gt;"",Gruppenphase!$K27,"")</f>
        <v/>
      </c>
      <c r="CW18" s="5" t="str">
        <f>IF($BK18&lt;&gt;"",Gruppenphase!$M27,"")</f>
        <v/>
      </c>
      <c r="CX18" s="5" t="str">
        <f t="shared" si="39"/>
        <v/>
      </c>
      <c r="CY18" s="5" t="str">
        <f t="shared" si="40"/>
        <v/>
      </c>
      <c r="CZ18" s="5">
        <v>3</v>
      </c>
      <c r="DA18" s="5" t="str">
        <f t="shared" si="43"/>
        <v/>
      </c>
      <c r="DB18" s="5">
        <f>IF(AND(DA18="",DA17="",DA16=""),CZ18,IF(AND(DA16&lt;&gt;"",DA17="",DA18=""),2,IF(AND(DA16&lt;&gt;"",DA17&lt;&gt;"",DA18=""),1,"")))</f>
        <v>3</v>
      </c>
      <c r="DC18" s="5" t="str">
        <f>VLOOKUP(DB18,$BO$16:$BP$19,2,FALSE)</f>
        <v>Ajax</v>
      </c>
      <c r="DD18" s="5">
        <v>3</v>
      </c>
      <c r="DE18" s="5" t="str">
        <f>IF(CY18&lt;&gt;"",IF(CX18&lt;CX19,CY18,CY19),IF(DC18&lt;&gt;"",DC18,DA18))</f>
        <v>Ajax</v>
      </c>
    </row>
    <row r="19" spans="1:109" x14ac:dyDescent="0.2">
      <c r="A19" s="5">
        <f t="shared" si="8"/>
        <v>4</v>
      </c>
      <c r="B19" s="5" t="str">
        <f>'Club Namen'!B18</f>
        <v>Dinamo Zagreb</v>
      </c>
      <c r="C19" s="5">
        <f>SUMPRODUCT((Gruppenphase!$I$13:$I$108&lt;&gt;"")*(Gruppenphase!$K$13:$K$108&lt;&gt;"")*(Gruppenphase!$G$13:$G$108='Dummy Table'!$B19)*(Gruppenphase!$I$13:$I$108&gt;Gruppenphase!$K$13:$K$108))</f>
        <v>0</v>
      </c>
      <c r="D19" s="5">
        <f>SUMPRODUCT((Gruppenphase!$I$13:$I$108&lt;&gt;"")*(Gruppenphase!$K$13:$K$108&lt;&gt;"")*(Gruppenphase!$G$13:$G$108='Dummy Table'!$B19)*(Gruppenphase!$I$13:$I$108=Gruppenphase!$K$13:$K$108))</f>
        <v>0</v>
      </c>
      <c r="E19" s="5">
        <f>SUMPRODUCT((Gruppenphase!$I$13:$I$108&lt;&gt;"")*(Gruppenphase!$K$13:$K$108&lt;&gt;"")*(Gruppenphase!$G$13:$G$108='Dummy Table'!$B19)*(Gruppenphase!$I$13:$I$108&lt;Gruppenphase!$K$13:$K$108))</f>
        <v>0</v>
      </c>
      <c r="F19" s="5">
        <f>SUMIF(Gruppenphase!$G$13:$G$108,'Dummy Table'!$B19,Gruppenphase!$I$13:$I$108)</f>
        <v>0</v>
      </c>
      <c r="G19" s="5">
        <f>SUMIF(Gruppenphase!$G$13:$G$108,'Dummy Table'!$B19,Gruppenphase!$K$13:$K$108)</f>
        <v>0</v>
      </c>
      <c r="H19" s="5">
        <f t="shared" si="9"/>
        <v>0</v>
      </c>
      <c r="I19" s="5">
        <f t="shared" si="10"/>
        <v>0</v>
      </c>
      <c r="J19" s="5">
        <f>SUMPRODUCT((Gruppenphase!$I$13:$I$108&lt;&gt;"")*(Gruppenphase!$K$13:$K$108&lt;&gt;"")*(Gruppenphase!$M$13:$M$108='Dummy Table'!$B19)*(Gruppenphase!$I$13:$I$108&lt;Gruppenphase!$K$13:$K$108))</f>
        <v>0</v>
      </c>
      <c r="K19" s="5">
        <f>SUMPRODUCT((Gruppenphase!$I$13:$I$108&lt;&gt;"")*(Gruppenphase!$K$13:$K$108&lt;&gt;"")*(Gruppenphase!$M$13:$M$108='Dummy Table'!$B19)*(Gruppenphase!$I$13:$I$108=Gruppenphase!$K$13:$K$108))</f>
        <v>0</v>
      </c>
      <c r="L19" s="5">
        <f>SUMPRODUCT((Gruppenphase!$I$13:$I$108&lt;&gt;"")*(Gruppenphase!$K$13:$K$108&lt;&gt;"")*(Gruppenphase!$M$13:$M$108='Dummy Table'!$B19)*(Gruppenphase!$I$13:$I$108&gt;Gruppenphase!$K$13:$K$108))</f>
        <v>0</v>
      </c>
      <c r="M19" s="5">
        <f>SUMIF(Gruppenphase!$M$13:$M$108,'Dummy Table'!$B19,Gruppenphase!$K$13:$K$108)</f>
        <v>0</v>
      </c>
      <c r="N19" s="5">
        <f>SUMIF(Gruppenphase!$M$13:$M$108,'Dummy Table'!$B19,Gruppenphase!$I$13:$I$108)</f>
        <v>0</v>
      </c>
      <c r="O19" s="5">
        <f t="shared" si="11"/>
        <v>0</v>
      </c>
      <c r="P19" s="5">
        <f t="shared" si="12"/>
        <v>0</v>
      </c>
      <c r="Q19" s="5">
        <f t="shared" si="13"/>
        <v>0</v>
      </c>
      <c r="R19" s="5">
        <f t="shared" si="14"/>
        <v>0</v>
      </c>
      <c r="S19" s="5">
        <f t="shared" si="15"/>
        <v>0</v>
      </c>
      <c r="T19" s="5">
        <f t="shared" si="16"/>
        <v>0</v>
      </c>
      <c r="U19" s="5">
        <f t="shared" si="17"/>
        <v>0</v>
      </c>
      <c r="V19" s="5">
        <f t="shared" si="18"/>
        <v>0</v>
      </c>
      <c r="W19" s="5">
        <f t="shared" si="19"/>
        <v>0</v>
      </c>
      <c r="X19" s="5">
        <v>4</v>
      </c>
      <c r="Y19" s="5">
        <f>RANK(W19,W$16:W$19)</f>
        <v>1</v>
      </c>
      <c r="Z19" s="5">
        <f>SUMPRODUCT((W$16:W$19=W19)*(V$16:V$19&gt;V19))</f>
        <v>0</v>
      </c>
      <c r="AA19" s="5">
        <f>SUMPRODUCT((Y$16:Y$19=Y19)*(Z$16:Z$19=Z19)*(T$16:T$19&gt;T19))</f>
        <v>0</v>
      </c>
      <c r="AB19" s="5">
        <f>SUMPRODUCT((Y$16:Y$19=Y19)*(Z$16:Z$19=Z19)*(T$16:T$19=T19)*(X$16:X$19&gt;X19))</f>
        <v>3</v>
      </c>
      <c r="AC19" s="5">
        <v>4</v>
      </c>
      <c r="AD19" s="5" t="str">
        <f>VLOOKUP(AC19,$A$16:$B$19,2,FALSE)</f>
        <v>Dinamo Zagreb</v>
      </c>
      <c r="AE19" s="5">
        <f>VLOOKUP($AD19,$B$16:$W$19,22,FALSE)</f>
        <v>0</v>
      </c>
      <c r="AF19" s="5" t="str">
        <f>IF(AND(AE19=AE18,AE18=AE17),AD19,"")</f>
        <v>Dinamo Zagreb</v>
      </c>
      <c r="AG19" s="5">
        <f>SUMPRODUCT(($BK$4:$BK$99='Dummy Table'!$AF19)*($BL$4:$BL$99&gt;$BM$4:$BM$99))</f>
        <v>0</v>
      </c>
      <c r="AH19" s="5">
        <f>SUMPRODUCT(($BK$4:$BK$99='Dummy Table'!$AF19)*($BL$4:$BL$99=$BM$4:$BM$99))</f>
        <v>0</v>
      </c>
      <c r="AI19" s="5">
        <f>SUMPRODUCT(($BK$4:$BK$99='Dummy Table'!$AF19)*($BL$4:$BL$99&lt;$BM$4:$BM$99))</f>
        <v>0</v>
      </c>
      <c r="AJ19" s="5">
        <f>SUMIF($BK$4:$BK$99,'Dummy Table'!$AF19,$BL$4:$BL$99)</f>
        <v>0</v>
      </c>
      <c r="AK19" s="5">
        <f>SUMIF($BK$4:$BK$99,'Dummy Table'!$AF19,$BM$4:$BM$99)</f>
        <v>0</v>
      </c>
      <c r="AL19" s="5">
        <f t="shared" si="20"/>
        <v>0</v>
      </c>
      <c r="AM19" s="5">
        <f t="shared" si="21"/>
        <v>0</v>
      </c>
      <c r="AN19" s="5">
        <f>SUMPRODUCT(($BN$4:$BN$99='Dummy Table'!$AF19)*($BL$4:$BL$99&lt;$BM$4:$BM$99))</f>
        <v>0</v>
      </c>
      <c r="AO19" s="5">
        <f>SUMPRODUCT(($BN$4:$BN$99='Dummy Table'!$AF19)*($BL$4:$BL$99=$BM$4:$BM$99))</f>
        <v>0</v>
      </c>
      <c r="AP19" s="5">
        <f>SUMPRODUCT(($BN$4:$BN$99='Dummy Table'!$AF19)*($BL$4:$BL$99&gt;$BM$4:$BM$99))</f>
        <v>0</v>
      </c>
      <c r="AQ19" s="5">
        <f>SUMIF($BN$4:$BN$99,'Dummy Table'!$AF19,$BM$4:$BM$99)</f>
        <v>0</v>
      </c>
      <c r="AR19" s="5">
        <f>SUMIF($BN$4:$BN$99,'Dummy Table'!$AF19,$BL$4:$BL$99)</f>
        <v>0</v>
      </c>
      <c r="AS19" s="5">
        <f t="shared" si="22"/>
        <v>0</v>
      </c>
      <c r="AT19" s="5">
        <f t="shared" si="23"/>
        <v>0</v>
      </c>
      <c r="AU19" s="5">
        <f t="shared" si="24"/>
        <v>0</v>
      </c>
      <c r="AV19" s="5">
        <f t="shared" si="25"/>
        <v>0</v>
      </c>
      <c r="AW19" s="5">
        <f t="shared" si="26"/>
        <v>0</v>
      </c>
      <c r="AX19" s="5">
        <f t="shared" si="27"/>
        <v>0</v>
      </c>
      <c r="AY19" s="5">
        <f t="shared" si="28"/>
        <v>0</v>
      </c>
      <c r="AZ19" s="5">
        <f t="shared" si="29"/>
        <v>0</v>
      </c>
      <c r="BA19" s="75">
        <f t="shared" si="41"/>
        <v>0</v>
      </c>
      <c r="BB19" s="5">
        <f t="shared" si="30"/>
        <v>0</v>
      </c>
      <c r="BC19" s="5">
        <f t="shared" si="31"/>
        <v>0</v>
      </c>
      <c r="BD19" s="5">
        <f t="shared" si="32"/>
        <v>4</v>
      </c>
      <c r="BE19" s="75">
        <f>RANK(BA19,BA$16:BA$19)</f>
        <v>1</v>
      </c>
      <c r="BF19" s="75">
        <f>SUMPRODUCT((BA$16:BA$19=BA19)*(AZ$16:AZ$19&gt;AZ19))</f>
        <v>0</v>
      </c>
      <c r="BG19" s="75">
        <f>SUMPRODUCT((BA$16:BA$19=BA19)*(BE$16:BE$19=BE19)*(AZ$16:AZ$19=AZ19)*(AQ$16:AQ$19&gt;AQ19))</f>
        <v>0</v>
      </c>
      <c r="BH19" s="75">
        <f>SUMPRODUCT((BA$16:BA$19=BA19)*(BE$16:BE$19=BE19)*(AZ$16:AZ$19=AZ19)*(AQ$16:AQ$19=AQ19)*(BB$16:BB$19&gt;BB19))</f>
        <v>0</v>
      </c>
      <c r="BI19" s="75">
        <f>SUMPRODUCT((BA$16:BA$19=BA19)*(BE$16:BE$19=BE19)*(AZ$16:AZ$19=AZ19)*(AQ$16:AQ$19=AQ19)*(BB$16:BB$19=BB19)*(BC$16:BC$19&gt;BC19))</f>
        <v>0</v>
      </c>
      <c r="BJ19" s="75">
        <f>SUMPRODUCT((BA$16:BA$19=BA19)*(BE$16:BE$19=BE19)*(AZ$16:AZ$19=AZ19)*(AQ$16:AQ$19=AQ19)*(BB$16:BB$19=BB19)*(BC$16:BC$19=BC19)*(BD$16:BD$19&gt;BD19))</f>
        <v>3</v>
      </c>
      <c r="BK19" s="5" t="str">
        <f>IF(AND(COUNTIF($AF$4:$AF$35,Gruppenphase!G28)&gt;0,COUNTIF($AF$4:$AF$35,Gruppenphase!M28)&gt;0,Gruppenphase!I28&lt;&gt;"",Gruppenphase!K28&lt;&gt;""),Gruppenphase!G28,"")</f>
        <v/>
      </c>
      <c r="BL19" s="5" t="str">
        <f>IF($BK19&lt;&gt;"",Gruppenphase!I28,"")</f>
        <v/>
      </c>
      <c r="BM19" s="5" t="str">
        <f>IF($BK19&lt;&gt;"",Gruppenphase!K28,"")</f>
        <v/>
      </c>
      <c r="BN19" s="5" t="str">
        <f>IF($BK19&lt;&gt;"",Gruppenphase!M28,"")</f>
        <v/>
      </c>
      <c r="BO19" s="5">
        <f t="shared" si="2"/>
        <v>4</v>
      </c>
      <c r="BP19" s="5" t="str">
        <f t="shared" si="33"/>
        <v>Dinamo Zagreb</v>
      </c>
      <c r="BQ19" s="5">
        <f>VLOOKUP($AD19,$B$16:$W$19,22,FALSE)</f>
        <v>0</v>
      </c>
      <c r="BR19" s="5" t="str">
        <f>IF(BR18&lt;&gt;"",AD19,"")</f>
        <v/>
      </c>
      <c r="BS19" s="5">
        <f>SUMPRODUCT(($BK$4:$BK$99='Dummy Table'!$AF19)*($BL$4:$BL$99&gt;$BM$4:$BM$99))</f>
        <v>0</v>
      </c>
      <c r="BT19" s="5">
        <f>SUMPRODUCT(($BK$4:$BK$99='Dummy Table'!$AF19)*($BL$4:$BL$99=$BM$4:$BM$99))</f>
        <v>0</v>
      </c>
      <c r="BU19" s="5">
        <f>SUMPRODUCT(($BK$4:$BK$99='Dummy Table'!$AF19)*($BL$4:$BL$99&lt;$BM$4:$BM$99))</f>
        <v>0</v>
      </c>
      <c r="BV19" s="5">
        <f>SUMIF($BK$4:$BK$99,'Dummy Table'!$AF19,$BL$4:$BL$99)</f>
        <v>0</v>
      </c>
      <c r="BW19" s="5">
        <f>SUMIF($BK$4:$BK$99,'Dummy Table'!$AF19,$BM$4:$BM$99)</f>
        <v>0</v>
      </c>
      <c r="BX19" s="5">
        <f t="shared" si="34"/>
        <v>0</v>
      </c>
      <c r="BY19" s="5" t="str">
        <f t="shared" si="35"/>
        <v/>
      </c>
      <c r="BZ19" s="5">
        <f>SUMPRODUCT(($BN$4:$BN$99='Dummy Table'!$AF19)*($BL$4:$BL$99&lt;$BM$4:$BM$99))</f>
        <v>0</v>
      </c>
      <c r="CA19" s="5">
        <f>SUMPRODUCT(($BN$4:$BN$99='Dummy Table'!$AF19)*($BL$4:$BL$99=$BM$4:$BM$99))</f>
        <v>0</v>
      </c>
      <c r="CB19" s="5">
        <f>SUMPRODUCT(($BN$4:$BN$99='Dummy Table'!$AF19)*($BL$4:$BL$99&gt;$BM$4:$BM$99))</f>
        <v>0</v>
      </c>
      <c r="CC19" s="5">
        <f>SUMIF($BN$4:$BN$99,'Dummy Table'!$AF19,$BM$4:$BM$99)</f>
        <v>0</v>
      </c>
      <c r="CD19" s="5">
        <f>SUMIF($BN$4:$BN$99,'Dummy Table'!$AF19,$BL$4:$BL$99)</f>
        <v>0</v>
      </c>
      <c r="CE19" s="5">
        <f t="shared" si="36"/>
        <v>0</v>
      </c>
      <c r="CF19" s="5" t="str">
        <f t="shared" si="37"/>
        <v/>
      </c>
      <c r="CG19" s="5">
        <f t="shared" si="38"/>
        <v>0</v>
      </c>
      <c r="CH19" s="5">
        <f t="shared" si="3"/>
        <v>0</v>
      </c>
      <c r="CI19" s="5">
        <f t="shared" si="4"/>
        <v>0</v>
      </c>
      <c r="CJ19" s="5">
        <f t="shared" si="5"/>
        <v>0</v>
      </c>
      <c r="CK19" s="5">
        <f t="shared" si="6"/>
        <v>0</v>
      </c>
      <c r="CL19" s="5">
        <f t="shared" si="7"/>
        <v>0</v>
      </c>
      <c r="CM19" s="5">
        <f t="shared" si="42"/>
        <v>-1</v>
      </c>
      <c r="CN19" s="5">
        <v>16</v>
      </c>
      <c r="CO19" s="5">
        <f>RANK(CM19,CM$16:CM$19)</f>
        <v>1</v>
      </c>
      <c r="CP19" s="5">
        <f>SUMPRODUCT((CM$16:CM$19=CM19)*(CO$16:CO$19=CO19)*(CC$16:CC$19&gt;CC19))</f>
        <v>0</v>
      </c>
      <c r="CQ19" s="5">
        <f>SUMPRODUCT((CM$16:CM$19=CM19)*(CL$16:CL$19&gt;CL19))</f>
        <v>0</v>
      </c>
      <c r="CR19" s="5">
        <f>SUMPRODUCT((CO$16:CO$19=CO19)*(CQ$16:CQ$19=CQ19)*(CJ$16:CJ$19&gt;CJ19))</f>
        <v>0</v>
      </c>
      <c r="CS19" s="5">
        <f>SUMPRODUCT((CO$16:CO$19=CO19)*(CQ$16:CQ$19=CQ19)*(CJ$16:CJ$19=CJ19)*(CN$16:CN$19&gt;CN19))</f>
        <v>0</v>
      </c>
      <c r="CT19" s="5" t="str">
        <f>IF(AND(COUNTIF($AF$4:$AF$35,Gruppenphase!$G28)&gt;0,COUNTIF($AF$4:$AF$35,Gruppenphase!$M28)&gt;0),Gruppenphase!$G28,"")</f>
        <v>Ajax</v>
      </c>
      <c r="CU19" s="5" t="str">
        <f>IF($BK19&lt;&gt;"",Gruppenphase!$I28,"")</f>
        <v/>
      </c>
      <c r="CV19" s="5" t="str">
        <f>IF($BK19&lt;&gt;"",Gruppenphase!$K28,"")</f>
        <v/>
      </c>
      <c r="CW19" s="5" t="str">
        <f>IF($BK19&lt;&gt;"",Gruppenphase!$M28,"")</f>
        <v/>
      </c>
      <c r="CX19" s="5" t="str">
        <f t="shared" si="39"/>
        <v/>
      </c>
      <c r="CY19" s="5" t="str">
        <f t="shared" si="40"/>
        <v/>
      </c>
      <c r="CZ19" s="5">
        <v>4</v>
      </c>
      <c r="DA19" s="5" t="str">
        <f t="shared" si="43"/>
        <v/>
      </c>
      <c r="DB19" s="5">
        <f>IF(AND(DA19="",DA18="",DA17="",DA16=""),4,IF(AND(DA19="",DA18="",DA17=""),3,IF(AND(DA17&lt;&gt;"",DA18="",DA19=""),2,IF(AND(DA17&lt;&gt;"",DA18&lt;&gt;"",DA19=""),1,""))))</f>
        <v>4</v>
      </c>
      <c r="DC19" s="5" t="str">
        <f>VLOOKUP(DB19,$BO$16:$BP$19,2,FALSE)</f>
        <v>Dinamo Zagreb</v>
      </c>
      <c r="DD19" s="5">
        <v>4</v>
      </c>
      <c r="DE19" s="5" t="str">
        <f>IF(CY19&lt;&gt;"",IF(CX18&lt;CX19,CY19,CY18),IF(DC19&lt;&gt;"",DC19,DA19))</f>
        <v>Dinamo Zagreb</v>
      </c>
    </row>
    <row r="20" spans="1:109" x14ac:dyDescent="0.2">
      <c r="A20" s="5">
        <f t="shared" si="8"/>
        <v>1</v>
      </c>
      <c r="B20" s="5" t="str">
        <f>'Club Namen'!B19</f>
        <v>Chelsea</v>
      </c>
      <c r="C20" s="5">
        <f>SUMPRODUCT((Gruppenphase!$I$13:$I$108&lt;&gt;"")*(Gruppenphase!$K$13:$K$108&lt;&gt;"")*(Gruppenphase!$G$13:$G$108='Dummy Table'!$B20)*(Gruppenphase!$I$13:$I$108&gt;Gruppenphase!$K$13:$K$108))</f>
        <v>0</v>
      </c>
      <c r="D20" s="5">
        <f>SUMPRODUCT((Gruppenphase!$I$13:$I$108&lt;&gt;"")*(Gruppenphase!$K$13:$K$108&lt;&gt;"")*(Gruppenphase!$G$13:$G$108='Dummy Table'!$B20)*(Gruppenphase!$I$13:$I$108=Gruppenphase!$K$13:$K$108))</f>
        <v>0</v>
      </c>
      <c r="E20" s="5">
        <f>SUMPRODUCT((Gruppenphase!$I$13:$I$108&lt;&gt;"")*(Gruppenphase!$K$13:$K$108&lt;&gt;"")*(Gruppenphase!$G$13:$G$108='Dummy Table'!$B20)*(Gruppenphase!$I$13:$I$108&lt;Gruppenphase!$K$13:$K$108))</f>
        <v>0</v>
      </c>
      <c r="F20" s="5">
        <f>SUMIF(Gruppenphase!$G$13:$G$108,'Dummy Table'!$B20,Gruppenphase!$I$13:$I$108)</f>
        <v>0</v>
      </c>
      <c r="G20" s="5">
        <f>SUMIF(Gruppenphase!$G$13:$G$108,'Dummy Table'!$B20,Gruppenphase!$K$13:$K$108)</f>
        <v>0</v>
      </c>
      <c r="H20" s="5">
        <f t="shared" si="9"/>
        <v>0</v>
      </c>
      <c r="I20" s="5">
        <f t="shared" si="10"/>
        <v>0</v>
      </c>
      <c r="J20" s="5">
        <f>SUMPRODUCT((Gruppenphase!$I$13:$I$108&lt;&gt;"")*(Gruppenphase!$K$13:$K$108&lt;&gt;"")*(Gruppenphase!$M$13:$M$108='Dummy Table'!$B20)*(Gruppenphase!$I$13:$I$108&lt;Gruppenphase!$K$13:$K$108))</f>
        <v>0</v>
      </c>
      <c r="K20" s="5">
        <f>SUMPRODUCT((Gruppenphase!$I$13:$I$108&lt;&gt;"")*(Gruppenphase!$K$13:$K$108&lt;&gt;"")*(Gruppenphase!$M$13:$M$108='Dummy Table'!$B20)*(Gruppenphase!$I$13:$I$108=Gruppenphase!$K$13:$K$108))</f>
        <v>0</v>
      </c>
      <c r="L20" s="5">
        <f>SUMPRODUCT((Gruppenphase!$I$13:$I$108&lt;&gt;"")*(Gruppenphase!$K$13:$K$108&lt;&gt;"")*(Gruppenphase!$M$13:$M$108='Dummy Table'!$B20)*(Gruppenphase!$I$13:$I$108&gt;Gruppenphase!$K$13:$K$108))</f>
        <v>0</v>
      </c>
      <c r="M20" s="5">
        <f>SUMIF(Gruppenphase!$M$13:$M$108,'Dummy Table'!$B20,Gruppenphase!$K$13:$K$108)</f>
        <v>0</v>
      </c>
      <c r="N20" s="5">
        <f>SUMIF(Gruppenphase!$M$13:$M$108,'Dummy Table'!$B20,Gruppenphase!$I$13:$I$108)</f>
        <v>0</v>
      </c>
      <c r="O20" s="5">
        <f t="shared" si="11"/>
        <v>0</v>
      </c>
      <c r="P20" s="5">
        <f t="shared" si="12"/>
        <v>0</v>
      </c>
      <c r="Q20" s="5">
        <f t="shared" si="13"/>
        <v>0</v>
      </c>
      <c r="R20" s="5">
        <f t="shared" si="14"/>
        <v>0</v>
      </c>
      <c r="S20" s="5">
        <f t="shared" si="15"/>
        <v>0</v>
      </c>
      <c r="T20" s="5">
        <f t="shared" si="16"/>
        <v>0</v>
      </c>
      <c r="U20" s="5">
        <f t="shared" si="17"/>
        <v>0</v>
      </c>
      <c r="V20" s="5">
        <f t="shared" si="18"/>
        <v>0</v>
      </c>
      <c r="W20" s="5">
        <f t="shared" si="19"/>
        <v>0</v>
      </c>
      <c r="X20" s="5">
        <v>481</v>
      </c>
      <c r="Y20" s="5">
        <f>RANK(W20,W$20:W$23)</f>
        <v>1</v>
      </c>
      <c r="Z20" s="5">
        <f>SUMPRODUCT((W$20:W$23=W20)*(V$20:V$23&gt;V20))</f>
        <v>0</v>
      </c>
      <c r="AA20" s="5">
        <f>SUMPRODUCT((Y$20:Y$23=Y20)*(Z$20:Z$23=Z20)*(T$20:T$23&gt;T20))</f>
        <v>0</v>
      </c>
      <c r="AB20" s="5">
        <f>SUMPRODUCT((Y$20:Y$23=Y20)*(Z$20:Z$23=Z20)*(T$20:T$23=T20)*(X$20:X$23&gt;X20))</f>
        <v>0</v>
      </c>
      <c r="AC20" s="5">
        <v>1</v>
      </c>
      <c r="AD20" s="5" t="str">
        <f>VLOOKUP(AC20,$A$20:$B$23,2,FALSE)</f>
        <v>Chelsea</v>
      </c>
      <c r="AE20" s="5">
        <f>VLOOKUP($AD20,$B$20:$W$23,22,FALSE)</f>
        <v>0</v>
      </c>
      <c r="AF20" s="5" t="str">
        <f>IF(AE20=AE21,AD20,"")</f>
        <v>Chelsea</v>
      </c>
      <c r="AG20" s="5">
        <f>SUMPRODUCT(($BK$4:$BK$99='Dummy Table'!$AF20)*($BL$4:$BL$99&gt;$BM$4:$BM$99))</f>
        <v>0</v>
      </c>
      <c r="AH20" s="5">
        <f>SUMPRODUCT(($BK$4:$BK$99='Dummy Table'!$AF20)*($BL$4:$BL$99=$BM$4:$BM$99))</f>
        <v>0</v>
      </c>
      <c r="AI20" s="5">
        <f>SUMPRODUCT(($BK$4:$BK$99='Dummy Table'!$AF20)*($BL$4:$BL$99&lt;$BM$4:$BM$99))</f>
        <v>0</v>
      </c>
      <c r="AJ20" s="5">
        <f>SUMIF($BK$4:$BK$99,'Dummy Table'!$AF20,$BL$4:$BL$99)</f>
        <v>0</v>
      </c>
      <c r="AK20" s="5">
        <f>SUMIF($BK$4:$BK$99,'Dummy Table'!$AF20,$BM$4:$BM$99)</f>
        <v>0</v>
      </c>
      <c r="AL20" s="5">
        <f t="shared" si="20"/>
        <v>0</v>
      </c>
      <c r="AM20" s="5">
        <f t="shared" si="21"/>
        <v>0</v>
      </c>
      <c r="AN20" s="5">
        <f>SUMPRODUCT(($BN$4:$BN$99='Dummy Table'!$AF20)*($BL$4:$BL$99&lt;$BM$4:$BM$99))</f>
        <v>0</v>
      </c>
      <c r="AO20" s="5">
        <f>SUMPRODUCT(($BN$4:$BN$99='Dummy Table'!$AF20)*($BL$4:$BL$99=$BM$4:$BM$99))</f>
        <v>0</v>
      </c>
      <c r="AP20" s="5">
        <f>SUMPRODUCT(($BN$4:$BN$99='Dummy Table'!$AF20)*($BL$4:$BL$99&gt;$BM$4:$BM$99))</f>
        <v>0</v>
      </c>
      <c r="AQ20" s="5">
        <f>SUMIF($BN$4:$BN$99,'Dummy Table'!$AF20,$BM$4:$BM$99)</f>
        <v>0</v>
      </c>
      <c r="AR20" s="5">
        <f>SUMIF($BN$4:$BN$99,'Dummy Table'!$AF20,$BL$4:$BL$99)</f>
        <v>0</v>
      </c>
      <c r="AS20" s="5">
        <f t="shared" si="22"/>
        <v>0</v>
      </c>
      <c r="AT20" s="5">
        <f t="shared" si="23"/>
        <v>0</v>
      </c>
      <c r="AU20" s="5">
        <f t="shared" si="24"/>
        <v>0</v>
      </c>
      <c r="AV20" s="5">
        <f t="shared" si="25"/>
        <v>0</v>
      </c>
      <c r="AW20" s="5">
        <f t="shared" si="26"/>
        <v>0</v>
      </c>
      <c r="AX20" s="5">
        <f t="shared" si="27"/>
        <v>0</v>
      </c>
      <c r="AY20" s="5">
        <f t="shared" si="28"/>
        <v>0</v>
      </c>
      <c r="AZ20" s="5">
        <f t="shared" si="29"/>
        <v>0</v>
      </c>
      <c r="BA20" s="5">
        <f t="shared" si="41"/>
        <v>0</v>
      </c>
      <c r="BB20" s="5">
        <f t="shared" si="30"/>
        <v>0</v>
      </c>
      <c r="BC20" s="5">
        <f t="shared" si="31"/>
        <v>0</v>
      </c>
      <c r="BD20" s="5">
        <f t="shared" si="32"/>
        <v>481</v>
      </c>
      <c r="BE20" s="75">
        <f>RANK(BA20,BA$20:BA$23)</f>
        <v>1</v>
      </c>
      <c r="BF20" s="75">
        <f>SUMPRODUCT((BA$20:BA$23=BA20)*(AZ$20:AZ$23&gt;AZ20))</f>
        <v>0</v>
      </c>
      <c r="BG20" s="75">
        <f>SUMPRODUCT((BA$20:BA$23=BA20)*(BE$20:BE$23=BE20)*(AZ$20:AZ$23=AZ20)*(AQ$20:AQ$23&gt;AQ20))</f>
        <v>0</v>
      </c>
      <c r="BH20" s="75">
        <f>SUMPRODUCT((BA$20:BA$23=BA20)*(BE$20:BE$23=BE20)*(AZ$20:AZ$23=AZ20)*(AQ$20:AQ$23=AQ20)*(BB$20:BB$23&gt;BB20))</f>
        <v>0</v>
      </c>
      <c r="BI20" s="75">
        <f>SUMPRODUCT((BA$20:BA$23=BA20)*(BE$20:BE$23=BE20)*(AZ$20:AZ$23=AZ20)*(AQ$20:AQ$23=AQ20)*(BB$20:BB$23=BB20)*(BC$20:BC$23&gt;BC20))</f>
        <v>0</v>
      </c>
      <c r="BJ20" s="75">
        <f>SUMPRODUCT((BA$20:BA$23=BA20)*(BE$20:BE$23=BE20)*(AZ$20:AZ$23=AZ20)*(AQ$20:AQ$23=AQ20)*(BB$20:BB$23=BB20)*(BC$20:BC$23=BC20)*(BD$20:BD$23&gt;BD20))</f>
        <v>0</v>
      </c>
      <c r="BK20" s="5" t="str">
        <f>IF(AND(COUNTIF($AF$4:$AF$35,Gruppenphase!G29)&gt;0,COUNTIF($AF$4:$AF$35,Gruppenphase!M29)&gt;0,Gruppenphase!I29&lt;&gt;"",Gruppenphase!K29&lt;&gt;""),Gruppenphase!G29,"")</f>
        <v/>
      </c>
      <c r="BL20" s="5" t="str">
        <f>IF($BK20&lt;&gt;"",Gruppenphase!I29,"")</f>
        <v/>
      </c>
      <c r="BM20" s="5" t="str">
        <f>IF($BK20&lt;&gt;"",Gruppenphase!K29,"")</f>
        <v/>
      </c>
      <c r="BN20" s="5" t="str">
        <f>IF($BK20&lt;&gt;"",Gruppenphase!M29,"")</f>
        <v/>
      </c>
      <c r="BO20" s="5">
        <f t="shared" si="2"/>
        <v>1</v>
      </c>
      <c r="BP20" s="5" t="str">
        <f t="shared" si="33"/>
        <v>Chelsea</v>
      </c>
      <c r="BQ20" s="5">
        <f>VLOOKUP($AD20,$B$20:$W$23,22,FALSE)</f>
        <v>0</v>
      </c>
      <c r="BS20" s="5">
        <f>SUMPRODUCT(($BK$4:$BK$99='Dummy Table'!$AF20)*($BL$4:$BL$99&gt;$BM$4:$BM$99))</f>
        <v>0</v>
      </c>
      <c r="BT20" s="5">
        <f>SUMPRODUCT(($BK$4:$BK$99='Dummy Table'!$AF20)*($BL$4:$BL$99=$BM$4:$BM$99))</f>
        <v>0</v>
      </c>
      <c r="BU20" s="5">
        <f>SUMPRODUCT(($BK$4:$BK$99='Dummy Table'!$AF20)*($BL$4:$BL$99&lt;$BM$4:$BM$99))</f>
        <v>0</v>
      </c>
      <c r="BV20" s="5">
        <f>SUMIF($BK$4:$BK$99,'Dummy Table'!$AF20,$BL$4:$BL$99)</f>
        <v>0</v>
      </c>
      <c r="BW20" s="5">
        <f>SUMIF($BK$4:$BK$99,'Dummy Table'!$AF20,$BM$4:$BM$99)</f>
        <v>0</v>
      </c>
      <c r="BX20" s="5">
        <f t="shared" si="34"/>
        <v>0</v>
      </c>
      <c r="BY20" s="5" t="str">
        <f t="shared" si="35"/>
        <v/>
      </c>
      <c r="BZ20" s="5">
        <f>SUMPRODUCT(($BN$4:$BN$99='Dummy Table'!$AF20)*($BL$4:$BL$99&lt;$BM$4:$BM$99))</f>
        <v>0</v>
      </c>
      <c r="CA20" s="5">
        <f>SUMPRODUCT(($BN$4:$BN$99='Dummy Table'!$AF20)*($BL$4:$BL$99=$BM$4:$BM$99))</f>
        <v>0</v>
      </c>
      <c r="CB20" s="5">
        <f>SUMPRODUCT(($BN$4:$BN$99='Dummy Table'!$AF20)*($BL$4:$BL$99&gt;$BM$4:$BM$99))</f>
        <v>0</v>
      </c>
      <c r="CC20" s="5">
        <f>SUMIF($BN$4:$BN$99,'Dummy Table'!$AF20,$BM$4:$BM$99)</f>
        <v>0</v>
      </c>
      <c r="CD20" s="5">
        <f>SUMIF($BN$4:$BN$99,'Dummy Table'!$AF20,$BL$4:$BL$99)</f>
        <v>0</v>
      </c>
      <c r="CE20" s="5">
        <f t="shared" si="36"/>
        <v>0</v>
      </c>
      <c r="CF20" s="5" t="str">
        <f t="shared" si="37"/>
        <v/>
      </c>
      <c r="CG20" s="5">
        <f t="shared" si="38"/>
        <v>0</v>
      </c>
      <c r="CH20" s="5">
        <f t="shared" si="3"/>
        <v>0</v>
      </c>
      <c r="CI20" s="5">
        <f t="shared" si="4"/>
        <v>0</v>
      </c>
      <c r="CJ20" s="5">
        <f t="shared" si="5"/>
        <v>0</v>
      </c>
      <c r="CK20" s="5">
        <f t="shared" si="6"/>
        <v>0</v>
      </c>
      <c r="CL20" s="5">
        <f t="shared" si="7"/>
        <v>0</v>
      </c>
      <c r="CM20" s="5">
        <f t="shared" si="42"/>
        <v>-1</v>
      </c>
      <c r="CN20" s="5">
        <v>17</v>
      </c>
      <c r="CO20" s="5">
        <f>RANK(CM20,CM$20:CM$23)</f>
        <v>1</v>
      </c>
      <c r="CP20" s="5">
        <f>SUMPRODUCT((CM$20:CM$23=CM20)*(CO$20:CO$23=CO20)*(CC$20:CC$23&gt;CC20))</f>
        <v>0</v>
      </c>
      <c r="CQ20" s="5">
        <f>SUMPRODUCT((CM$20:CM$23=CM20)*(CL$20:CL$23&gt;CL20))</f>
        <v>0</v>
      </c>
      <c r="CR20" s="5">
        <f>SUMPRODUCT((CO$20:CO$23=CO20)*(CQ$20:CQ$23=CQ20)*(CJ$20:CJ$23&gt;CJ20))</f>
        <v>0</v>
      </c>
      <c r="CS20" s="5">
        <f>SUMPRODUCT((CO$20:CO$23=CO20)*(CQ$20:CQ$23=CQ20)*(CJ$20:CJ$23=CJ20)*(CN$20:CN$23&gt;CN20))</f>
        <v>3</v>
      </c>
      <c r="CT20" s="5" t="str">
        <f>IF(AND(COUNTIF($AF$4:$AF$35,Gruppenphase!$G29)&gt;0,COUNTIF($AF$4:$AF$35,Gruppenphase!$M29)&gt;0),Gruppenphase!$G29,"")</f>
        <v>CSKA Moscow</v>
      </c>
      <c r="CU20" s="5" t="str">
        <f>IF($BK20&lt;&gt;"",Gruppenphase!$I29,"")</f>
        <v/>
      </c>
      <c r="CV20" s="5" t="str">
        <f>IF($BK20&lt;&gt;"",Gruppenphase!$K29,"")</f>
        <v/>
      </c>
      <c r="CW20" s="5" t="str">
        <f>IF($BK20&lt;&gt;"",Gruppenphase!$M29,"")</f>
        <v/>
      </c>
      <c r="CX20" s="5" t="str">
        <f t="shared" si="39"/>
        <v/>
      </c>
      <c r="CY20" s="5" t="str">
        <f t="shared" si="40"/>
        <v/>
      </c>
      <c r="CZ20" s="5">
        <v>1</v>
      </c>
      <c r="DA20" s="5" t="str">
        <f t="shared" si="43"/>
        <v/>
      </c>
      <c r="DB20" s="5">
        <f>IF(DA20="",CZ20,"")</f>
        <v>1</v>
      </c>
      <c r="DC20" s="5" t="str">
        <f>VLOOKUP(DB20,$BO$20:$BP$23,2,FALSE)</f>
        <v>Chelsea</v>
      </c>
      <c r="DD20" s="5">
        <v>1</v>
      </c>
      <c r="DE20" s="5" t="str">
        <f>IF(DA20="",DC20,DA20)</f>
        <v>Chelsea</v>
      </c>
    </row>
    <row r="21" spans="1:109" x14ac:dyDescent="0.2">
      <c r="A21" s="5">
        <f t="shared" si="8"/>
        <v>2</v>
      </c>
      <c r="B21" s="5" t="str">
        <f>'Club Namen'!B20</f>
        <v>Valencia</v>
      </c>
      <c r="C21" s="5">
        <f>SUMPRODUCT((Gruppenphase!$I$13:$I$108&lt;&gt;"")*(Gruppenphase!$K$13:$K$108&lt;&gt;"")*(Gruppenphase!$G$13:$G$108='Dummy Table'!$B21)*(Gruppenphase!$I$13:$I$108&gt;Gruppenphase!$K$13:$K$108))</f>
        <v>0</v>
      </c>
      <c r="D21" s="5">
        <f>SUMPRODUCT((Gruppenphase!$I$13:$I$108&lt;&gt;"")*(Gruppenphase!$K$13:$K$108&lt;&gt;"")*(Gruppenphase!$G$13:$G$108='Dummy Table'!$B21)*(Gruppenphase!$I$13:$I$108=Gruppenphase!$K$13:$K$108))</f>
        <v>0</v>
      </c>
      <c r="E21" s="5">
        <f>SUMPRODUCT((Gruppenphase!$I$13:$I$108&lt;&gt;"")*(Gruppenphase!$K$13:$K$108&lt;&gt;"")*(Gruppenphase!$G$13:$G$108='Dummy Table'!$B21)*(Gruppenphase!$I$13:$I$108&lt;Gruppenphase!$K$13:$K$108))</f>
        <v>0</v>
      </c>
      <c r="F21" s="5">
        <f>SUMIF(Gruppenphase!$G$13:$G$108,'Dummy Table'!$B21,Gruppenphase!$I$13:$I$108)</f>
        <v>0</v>
      </c>
      <c r="G21" s="5">
        <f>SUMIF(Gruppenphase!$G$13:$G$108,'Dummy Table'!$B21,Gruppenphase!$K$13:$K$108)</f>
        <v>0</v>
      </c>
      <c r="H21" s="5">
        <f t="shared" si="9"/>
        <v>0</v>
      </c>
      <c r="I21" s="5">
        <f t="shared" si="10"/>
        <v>0</v>
      </c>
      <c r="J21" s="5">
        <f>SUMPRODUCT((Gruppenphase!$I$13:$I$108&lt;&gt;"")*(Gruppenphase!$K$13:$K$108&lt;&gt;"")*(Gruppenphase!$M$13:$M$108='Dummy Table'!$B21)*(Gruppenphase!$I$13:$I$108&lt;Gruppenphase!$K$13:$K$108))</f>
        <v>0</v>
      </c>
      <c r="K21" s="5">
        <f>SUMPRODUCT((Gruppenphase!$I$13:$I$108&lt;&gt;"")*(Gruppenphase!$K$13:$K$108&lt;&gt;"")*(Gruppenphase!$M$13:$M$108='Dummy Table'!$B21)*(Gruppenphase!$I$13:$I$108=Gruppenphase!$K$13:$K$108))</f>
        <v>0</v>
      </c>
      <c r="L21" s="5">
        <f>SUMPRODUCT((Gruppenphase!$I$13:$I$108&lt;&gt;"")*(Gruppenphase!$K$13:$K$108&lt;&gt;"")*(Gruppenphase!$M$13:$M$108='Dummy Table'!$B21)*(Gruppenphase!$I$13:$I$108&gt;Gruppenphase!$K$13:$K$108))</f>
        <v>0</v>
      </c>
      <c r="M21" s="5">
        <f>SUMIF(Gruppenphase!$M$13:$M$108,'Dummy Table'!$B21,Gruppenphase!$K$13:$K$108)</f>
        <v>0</v>
      </c>
      <c r="N21" s="5">
        <f>SUMIF(Gruppenphase!$M$13:$M$108,'Dummy Table'!$B21,Gruppenphase!$I$13:$I$108)</f>
        <v>0</v>
      </c>
      <c r="O21" s="5">
        <f t="shared" si="11"/>
        <v>0</v>
      </c>
      <c r="P21" s="5">
        <f t="shared" si="12"/>
        <v>0</v>
      </c>
      <c r="Q21" s="5">
        <f t="shared" si="13"/>
        <v>0</v>
      </c>
      <c r="R21" s="5">
        <f t="shared" si="14"/>
        <v>0</v>
      </c>
      <c r="S21" s="5">
        <f t="shared" si="15"/>
        <v>0</v>
      </c>
      <c r="T21" s="5">
        <f t="shared" si="16"/>
        <v>0</v>
      </c>
      <c r="U21" s="5">
        <f t="shared" si="17"/>
        <v>0</v>
      </c>
      <c r="V21" s="5">
        <f t="shared" si="18"/>
        <v>0</v>
      </c>
      <c r="W21" s="5">
        <f t="shared" si="19"/>
        <v>0</v>
      </c>
      <c r="X21" s="5">
        <v>91</v>
      </c>
      <c r="Y21" s="5">
        <f>RANK(W21,W$20:W$23)</f>
        <v>1</v>
      </c>
      <c r="Z21" s="5">
        <f>SUMPRODUCT((W$20:W$23=W21)*(V$20:V$23&gt;V21))</f>
        <v>0</v>
      </c>
      <c r="AA21" s="5">
        <f>SUMPRODUCT((Y$20:Y$23=Y21)*(Z$20:Z$23=Z21)*(T$20:T$23&gt;T21))</f>
        <v>0</v>
      </c>
      <c r="AB21" s="5">
        <f>SUMPRODUCT((Y$20:Y$23=Y21)*(Z$20:Z$23=Z21)*(T$20:T$23=T21)*(X$20:X$23&gt;X21))</f>
        <v>1</v>
      </c>
      <c r="AC21" s="5">
        <v>2</v>
      </c>
      <c r="AD21" s="5" t="str">
        <f>VLOOKUP(AC21,$A$20:$B$23,2,FALSE)</f>
        <v>Valencia</v>
      </c>
      <c r="AE21" s="5">
        <f>VLOOKUP($AD21,$B$20:$W$23,22,FALSE)</f>
        <v>0</v>
      </c>
      <c r="AF21" s="5" t="str">
        <f>IF(OR(AE21=AE20,AE21=AE22),AD21,"")</f>
        <v>Valencia</v>
      </c>
      <c r="AG21" s="5">
        <f>SUMPRODUCT(($BK$4:$BK$99='Dummy Table'!$AF21)*($BL$4:$BL$99&gt;$BM$4:$BM$99))</f>
        <v>0</v>
      </c>
      <c r="AH21" s="5">
        <f>SUMPRODUCT(($BK$4:$BK$99='Dummy Table'!$AF21)*($BL$4:$BL$99=$BM$4:$BM$99))</f>
        <v>0</v>
      </c>
      <c r="AI21" s="5">
        <f>SUMPRODUCT(($BK$4:$BK$99='Dummy Table'!$AF21)*($BL$4:$BL$99&lt;$BM$4:$BM$99))</f>
        <v>0</v>
      </c>
      <c r="AJ21" s="5">
        <f>SUMIF($BK$4:$BK$99,'Dummy Table'!$AF21,$BL$4:$BL$99)</f>
        <v>0</v>
      </c>
      <c r="AK21" s="5">
        <f>SUMIF($BK$4:$BK$99,'Dummy Table'!$AF21,$BM$4:$BM$99)</f>
        <v>0</v>
      </c>
      <c r="AL21" s="5">
        <f t="shared" si="20"/>
        <v>0</v>
      </c>
      <c r="AM21" s="5">
        <f t="shared" si="21"/>
        <v>0</v>
      </c>
      <c r="AN21" s="5">
        <f>SUMPRODUCT(($BN$4:$BN$99='Dummy Table'!$AF21)*($BL$4:$BL$99&lt;$BM$4:$BM$99))</f>
        <v>0</v>
      </c>
      <c r="AO21" s="5">
        <f>SUMPRODUCT(($BN$4:$BN$99='Dummy Table'!$AF21)*($BL$4:$BL$99=$BM$4:$BM$99))</f>
        <v>0</v>
      </c>
      <c r="AP21" s="5">
        <f>SUMPRODUCT(($BN$4:$BN$99='Dummy Table'!$AF21)*($BL$4:$BL$99&gt;$BM$4:$BM$99))</f>
        <v>0</v>
      </c>
      <c r="AQ21" s="5">
        <f>SUMIF($BN$4:$BN$99,'Dummy Table'!$AF21,$BM$4:$BM$99)</f>
        <v>0</v>
      </c>
      <c r="AR21" s="5">
        <f>SUMIF($BN$4:$BN$99,'Dummy Table'!$AF21,$BL$4:$BL$99)</f>
        <v>0</v>
      </c>
      <c r="AS21" s="5">
        <f t="shared" si="22"/>
        <v>0</v>
      </c>
      <c r="AT21" s="5">
        <f t="shared" si="23"/>
        <v>0</v>
      </c>
      <c r="AU21" s="5">
        <f t="shared" si="24"/>
        <v>0</v>
      </c>
      <c r="AV21" s="5">
        <f t="shared" si="25"/>
        <v>0</v>
      </c>
      <c r="AW21" s="5">
        <f t="shared" si="26"/>
        <v>0</v>
      </c>
      <c r="AX21" s="5">
        <f t="shared" si="27"/>
        <v>0</v>
      </c>
      <c r="AY21" s="5">
        <f t="shared" si="28"/>
        <v>0</v>
      </c>
      <c r="AZ21" s="5">
        <f t="shared" si="29"/>
        <v>0</v>
      </c>
      <c r="BA21" s="5">
        <f t="shared" si="41"/>
        <v>0</v>
      </c>
      <c r="BB21" s="5">
        <f t="shared" si="30"/>
        <v>0</v>
      </c>
      <c r="BC21" s="5">
        <f t="shared" si="31"/>
        <v>0</v>
      </c>
      <c r="BD21" s="5">
        <f t="shared" si="32"/>
        <v>91</v>
      </c>
      <c r="BE21" s="75">
        <f>RANK(BA21,BA$20:BA$23)</f>
        <v>1</v>
      </c>
      <c r="BF21" s="75">
        <f>SUMPRODUCT((BA$20:BA$23=BA21)*(AZ$20:AZ$23&gt;AZ21))</f>
        <v>0</v>
      </c>
      <c r="BG21" s="75">
        <f>SUMPRODUCT((BA$20:BA$23=BA21)*(BE$20:BE$23=BE21)*(AZ$20:AZ$23=AZ21)*(AQ$20:AQ$23&gt;AQ21))</f>
        <v>0</v>
      </c>
      <c r="BH21" s="75">
        <f>SUMPRODUCT((BA$20:BA$23=BA21)*(BE$20:BE$23=BE21)*(AZ$20:AZ$23=AZ21)*(AQ$20:AQ$23=AQ21)*(BB$20:BB$23&gt;BB21))</f>
        <v>0</v>
      </c>
      <c r="BI21" s="75">
        <f>SUMPRODUCT((BA$20:BA$23=BA21)*(BE$20:BE$23=BE21)*(AZ$20:AZ$23=AZ21)*(AQ$20:AQ$23=AQ21)*(BB$20:BB$23=BB21)*(BC$20:BC$23&gt;BC21))</f>
        <v>0</v>
      </c>
      <c r="BJ21" s="75">
        <f>SUMPRODUCT((BA$20:BA$23=BA21)*(BE$20:BE$23=BE21)*(AZ$20:AZ$23=AZ21)*(AQ$20:AQ$23=AQ21)*(BB$20:BB$23=BB21)*(BC$20:BC$23=BC21)*(BD$20:BD$23&gt;BD21))</f>
        <v>1</v>
      </c>
      <c r="BK21" s="5" t="str">
        <f>IF(AND(COUNTIF($AF$4:$AF$35,Gruppenphase!G30)&gt;0,COUNTIF($AF$4:$AF$35,Gruppenphase!M30)&gt;0,Gruppenphase!I30&lt;&gt;"",Gruppenphase!K30&lt;&gt;""),Gruppenphase!G30,"")</f>
        <v/>
      </c>
      <c r="BL21" s="5" t="str">
        <f>IF($BK21&lt;&gt;"",Gruppenphase!I30,"")</f>
        <v/>
      </c>
      <c r="BM21" s="5" t="str">
        <f>IF($BK21&lt;&gt;"",Gruppenphase!K30,"")</f>
        <v/>
      </c>
      <c r="BN21" s="5" t="str">
        <f>IF($BK21&lt;&gt;"",Gruppenphase!M30,"")</f>
        <v/>
      </c>
      <c r="BO21" s="5">
        <f t="shared" si="2"/>
        <v>2</v>
      </c>
      <c r="BP21" s="5" t="str">
        <f t="shared" si="33"/>
        <v>Valencia</v>
      </c>
      <c r="BQ21" s="5">
        <f>VLOOKUP($AD21,$B$20:$W$23,22,FALSE)</f>
        <v>0</v>
      </c>
      <c r="BS21" s="5">
        <f>SUMPRODUCT(($BK$4:$BK$99='Dummy Table'!$AF21)*($BL$4:$BL$99&gt;$BM$4:$BM$99))</f>
        <v>0</v>
      </c>
      <c r="BT21" s="5">
        <f>SUMPRODUCT(($BK$4:$BK$99='Dummy Table'!$AF21)*($BL$4:$BL$99=$BM$4:$BM$99))</f>
        <v>0</v>
      </c>
      <c r="BU21" s="5">
        <f>SUMPRODUCT(($BK$4:$BK$99='Dummy Table'!$AF21)*($BL$4:$BL$99&lt;$BM$4:$BM$99))</f>
        <v>0</v>
      </c>
      <c r="BV21" s="5">
        <f>SUMIF($BK$4:$BK$99,'Dummy Table'!$AF21,$BL$4:$BL$99)</f>
        <v>0</v>
      </c>
      <c r="BW21" s="5">
        <f>SUMIF($BK$4:$BK$99,'Dummy Table'!$AF21,$BM$4:$BM$99)</f>
        <v>0</v>
      </c>
      <c r="BX21" s="5">
        <f t="shared" si="34"/>
        <v>0</v>
      </c>
      <c r="BY21" s="5" t="str">
        <f t="shared" si="35"/>
        <v/>
      </c>
      <c r="BZ21" s="5">
        <f>SUMPRODUCT(($BN$4:$BN$99='Dummy Table'!$AF21)*($BL$4:$BL$99&lt;$BM$4:$BM$99))</f>
        <v>0</v>
      </c>
      <c r="CA21" s="5">
        <f>SUMPRODUCT(($BN$4:$BN$99='Dummy Table'!$AF21)*($BL$4:$BL$99=$BM$4:$BM$99))</f>
        <v>0</v>
      </c>
      <c r="CB21" s="5">
        <f>SUMPRODUCT(($BN$4:$BN$99='Dummy Table'!$AF21)*($BL$4:$BL$99&gt;$BM$4:$BM$99))</f>
        <v>0</v>
      </c>
      <c r="CC21" s="5">
        <f>SUMIF($BN$4:$BN$99,'Dummy Table'!$AF21,$BM$4:$BM$99)</f>
        <v>0</v>
      </c>
      <c r="CD21" s="5">
        <f>SUMIF($BN$4:$BN$99,'Dummy Table'!$AF21,$BL$4:$BL$99)</f>
        <v>0</v>
      </c>
      <c r="CE21" s="5">
        <f t="shared" si="36"/>
        <v>0</v>
      </c>
      <c r="CF21" s="5" t="str">
        <f t="shared" si="37"/>
        <v/>
      </c>
      <c r="CG21" s="5">
        <f t="shared" si="38"/>
        <v>0</v>
      </c>
      <c r="CH21" s="5">
        <f t="shared" si="3"/>
        <v>0</v>
      </c>
      <c r="CI21" s="5">
        <f t="shared" si="4"/>
        <v>0</v>
      </c>
      <c r="CJ21" s="5">
        <f t="shared" si="5"/>
        <v>0</v>
      </c>
      <c r="CK21" s="5">
        <f t="shared" si="6"/>
        <v>0</v>
      </c>
      <c r="CL21" s="5">
        <f t="shared" si="7"/>
        <v>0</v>
      </c>
      <c r="CM21" s="5">
        <f t="shared" si="42"/>
        <v>-1</v>
      </c>
      <c r="CN21" s="5">
        <v>18</v>
      </c>
      <c r="CO21" s="5">
        <f>RANK(CM21,CM$20:CM$23)</f>
        <v>1</v>
      </c>
      <c r="CP21" s="5">
        <f>SUMPRODUCT((CM$20:CM$23=CM21)*(CO$20:CO$23=CO21)*(CC$20:CC$23&gt;CC21))</f>
        <v>0</v>
      </c>
      <c r="CQ21" s="5">
        <f>SUMPRODUCT((CM$20:CM$23=CM21)*(CL$20:CL$23&gt;CL21))</f>
        <v>0</v>
      </c>
      <c r="CR21" s="5">
        <f>SUMPRODUCT((CO$20:CO$23=CO21)*(CQ$20:CQ$23=CQ21)*(CJ$20:CJ$23&gt;CJ21))</f>
        <v>0</v>
      </c>
      <c r="CS21" s="5">
        <f>SUMPRODUCT((CO$20:CO$23=CO21)*(CQ$20:CQ$23=CQ21)*(CJ$20:CJ$23=CJ21)*(CN$20:CN$23&gt;CN21))</f>
        <v>2</v>
      </c>
      <c r="CT21" s="5" t="str">
        <f>IF(AND(COUNTIF($AF$4:$AF$35,Gruppenphase!$G30)&gt;0,COUNTIF($AF$4:$AF$35,Gruppenphase!$M30)&gt;0),Gruppenphase!$G30,"")</f>
        <v>Bayern München</v>
      </c>
      <c r="CU21" s="5" t="str">
        <f>IF($BK21&lt;&gt;"",Gruppenphase!$I30,"")</f>
        <v/>
      </c>
      <c r="CV21" s="5" t="str">
        <f>IF($BK21&lt;&gt;"",Gruppenphase!$K30,"")</f>
        <v/>
      </c>
      <c r="CW21" s="5" t="str">
        <f>IF($BK21&lt;&gt;"",Gruppenphase!$M30,"")</f>
        <v/>
      </c>
      <c r="CX21" s="5" t="str">
        <f t="shared" si="39"/>
        <v/>
      </c>
      <c r="CY21" s="5" t="str">
        <f t="shared" si="40"/>
        <v/>
      </c>
      <c r="CZ21" s="5">
        <v>2</v>
      </c>
      <c r="DA21" s="5" t="str">
        <f t="shared" si="43"/>
        <v/>
      </c>
      <c r="DB21" s="5">
        <f>IF(AND(DA21="",DA20=""),CZ21,IF(AND(DA20&lt;&gt;"",DA21=""),1,""))</f>
        <v>2</v>
      </c>
      <c r="DC21" s="5" t="str">
        <f>VLOOKUP(DB21,$BO$20:$BP$23,2,FALSE)</f>
        <v>Valencia</v>
      </c>
      <c r="DD21" s="5">
        <v>2</v>
      </c>
      <c r="DE21" s="5" t="str">
        <f>IF(DA21="",DC21,DA21)</f>
        <v>Valencia</v>
      </c>
    </row>
    <row r="22" spans="1:109" x14ac:dyDescent="0.2">
      <c r="A22" s="5">
        <f t="shared" si="8"/>
        <v>3</v>
      </c>
      <c r="B22" s="5" t="str">
        <f>'Club Namen'!B21</f>
        <v>Bayer Leverkusen</v>
      </c>
      <c r="C22" s="5">
        <f>SUMPRODUCT((Gruppenphase!$I$13:$I$108&lt;&gt;"")*(Gruppenphase!$K$13:$K$108&lt;&gt;"")*(Gruppenphase!$G$13:$G$108='Dummy Table'!$B22)*(Gruppenphase!$I$13:$I$108&gt;Gruppenphase!$K$13:$K$108))</f>
        <v>0</v>
      </c>
      <c r="D22" s="5">
        <f>SUMPRODUCT((Gruppenphase!$I$13:$I$108&lt;&gt;"")*(Gruppenphase!$K$13:$K$108&lt;&gt;"")*(Gruppenphase!$G$13:$G$108='Dummy Table'!$B22)*(Gruppenphase!$I$13:$I$108=Gruppenphase!$K$13:$K$108))</f>
        <v>0</v>
      </c>
      <c r="E22" s="5">
        <f>SUMPRODUCT((Gruppenphase!$I$13:$I$108&lt;&gt;"")*(Gruppenphase!$K$13:$K$108&lt;&gt;"")*(Gruppenphase!$G$13:$G$108='Dummy Table'!$B22)*(Gruppenphase!$I$13:$I$108&lt;Gruppenphase!$K$13:$K$108))</f>
        <v>0</v>
      </c>
      <c r="F22" s="5">
        <f>SUMIF(Gruppenphase!$G$13:$G$108,'Dummy Table'!$B22,Gruppenphase!$I$13:$I$108)</f>
        <v>0</v>
      </c>
      <c r="G22" s="5">
        <f>SUMIF(Gruppenphase!$G$13:$G$108,'Dummy Table'!$B22,Gruppenphase!$K$13:$K$108)</f>
        <v>0</v>
      </c>
      <c r="H22" s="5">
        <f t="shared" si="9"/>
        <v>0</v>
      </c>
      <c r="I22" s="5">
        <f t="shared" si="10"/>
        <v>0</v>
      </c>
      <c r="J22" s="5">
        <f>SUMPRODUCT((Gruppenphase!$I$13:$I$108&lt;&gt;"")*(Gruppenphase!$K$13:$K$108&lt;&gt;"")*(Gruppenphase!$M$13:$M$108='Dummy Table'!$B22)*(Gruppenphase!$I$13:$I$108&lt;Gruppenphase!$K$13:$K$108))</f>
        <v>0</v>
      </c>
      <c r="K22" s="5">
        <f>SUMPRODUCT((Gruppenphase!$I$13:$I$108&lt;&gt;"")*(Gruppenphase!$K$13:$K$108&lt;&gt;"")*(Gruppenphase!$M$13:$M$108='Dummy Table'!$B22)*(Gruppenphase!$I$13:$I$108=Gruppenphase!$K$13:$K$108))</f>
        <v>0</v>
      </c>
      <c r="L22" s="5">
        <f>SUMPRODUCT((Gruppenphase!$I$13:$I$108&lt;&gt;"")*(Gruppenphase!$K$13:$K$108&lt;&gt;"")*(Gruppenphase!$M$13:$M$108='Dummy Table'!$B22)*(Gruppenphase!$I$13:$I$108&gt;Gruppenphase!$K$13:$K$108))</f>
        <v>0</v>
      </c>
      <c r="M22" s="5">
        <f>SUMIF(Gruppenphase!$M$13:$M$108,'Dummy Table'!$B22,Gruppenphase!$K$13:$K$108)</f>
        <v>0</v>
      </c>
      <c r="N22" s="5">
        <f>SUMIF(Gruppenphase!$M$13:$M$108,'Dummy Table'!$B22,Gruppenphase!$I$13:$I$108)</f>
        <v>0</v>
      </c>
      <c r="O22" s="5">
        <f t="shared" si="11"/>
        <v>0</v>
      </c>
      <c r="P22" s="5">
        <f t="shared" si="12"/>
        <v>0</v>
      </c>
      <c r="Q22" s="5">
        <f t="shared" si="13"/>
        <v>0</v>
      </c>
      <c r="R22" s="5">
        <f t="shared" si="14"/>
        <v>0</v>
      </c>
      <c r="S22" s="5">
        <f t="shared" si="15"/>
        <v>0</v>
      </c>
      <c r="T22" s="5">
        <f t="shared" si="16"/>
        <v>0</v>
      </c>
      <c r="U22" s="5">
        <f t="shared" si="17"/>
        <v>0</v>
      </c>
      <c r="V22" s="5">
        <f t="shared" si="18"/>
        <v>0</v>
      </c>
      <c r="W22" s="5">
        <f t="shared" si="19"/>
        <v>0</v>
      </c>
      <c r="X22" s="5">
        <v>42</v>
      </c>
      <c r="Y22" s="5">
        <f>RANK(W22,W$20:W$23)</f>
        <v>1</v>
      </c>
      <c r="Z22" s="5">
        <f>SUMPRODUCT((W$20:W$23=W22)*(V$20:V$23&gt;V22))</f>
        <v>0</v>
      </c>
      <c r="AA22" s="5">
        <f>SUMPRODUCT((Y$20:Y$23=Y22)*(Z$20:Z$23=Z22)*(T$20:T$23&gt;T22))</f>
        <v>0</v>
      </c>
      <c r="AB22" s="5">
        <f>SUMPRODUCT((Y$20:Y$23=Y22)*(Z$20:Z$23=Z22)*(T$20:T$23=T22)*(X$20:X$23&gt;X22))</f>
        <v>2</v>
      </c>
      <c r="AC22" s="5">
        <v>3</v>
      </c>
      <c r="AD22" s="5" t="str">
        <f>VLOOKUP(AC22,$A$20:$B$23,2,FALSE)</f>
        <v>Bayer Leverkusen</v>
      </c>
      <c r="AE22" s="5">
        <f>VLOOKUP($AD22,$B$20:$W$23,22,FALSE)</f>
        <v>0</v>
      </c>
      <c r="AF22" s="5" t="str">
        <f>IF(AE22=AE21,AD22,"")</f>
        <v>Bayer Leverkusen</v>
      </c>
      <c r="AG22" s="5">
        <f>SUMPRODUCT(($BK$4:$BK$99='Dummy Table'!$AF22)*($BL$4:$BL$99&gt;$BM$4:$BM$99))</f>
        <v>0</v>
      </c>
      <c r="AH22" s="5">
        <f>SUMPRODUCT(($BK$4:$BK$99='Dummy Table'!$AF22)*($BL$4:$BL$99=$BM$4:$BM$99))</f>
        <v>0</v>
      </c>
      <c r="AI22" s="5">
        <f>SUMPRODUCT(($BK$4:$BK$99='Dummy Table'!$AF22)*($BL$4:$BL$99&lt;$BM$4:$BM$99))</f>
        <v>0</v>
      </c>
      <c r="AJ22" s="5">
        <f>SUMIF($BK$4:$BK$99,'Dummy Table'!$AF22,$BL$4:$BL$99)</f>
        <v>0</v>
      </c>
      <c r="AK22" s="5">
        <f>SUMIF($BK$4:$BK$99,'Dummy Table'!$AF22,$BM$4:$BM$99)</f>
        <v>0</v>
      </c>
      <c r="AL22" s="5">
        <f t="shared" si="20"/>
        <v>0</v>
      </c>
      <c r="AM22" s="5">
        <f t="shared" si="21"/>
        <v>0</v>
      </c>
      <c r="AN22" s="5">
        <f>SUMPRODUCT(($BN$4:$BN$99='Dummy Table'!$AF22)*($BL$4:$BL$99&lt;$BM$4:$BM$99))</f>
        <v>0</v>
      </c>
      <c r="AO22" s="5">
        <f>SUMPRODUCT(($BN$4:$BN$99='Dummy Table'!$AF22)*($BL$4:$BL$99=$BM$4:$BM$99))</f>
        <v>0</v>
      </c>
      <c r="AP22" s="5">
        <f>SUMPRODUCT(($BN$4:$BN$99='Dummy Table'!$AF22)*($BL$4:$BL$99&gt;$BM$4:$BM$99))</f>
        <v>0</v>
      </c>
      <c r="AQ22" s="5">
        <f>SUMIF($BN$4:$BN$99,'Dummy Table'!$AF22,$BM$4:$BM$99)</f>
        <v>0</v>
      </c>
      <c r="AR22" s="5">
        <f>SUMIF($BN$4:$BN$99,'Dummy Table'!$AF22,$BL$4:$BL$99)</f>
        <v>0</v>
      </c>
      <c r="AS22" s="5">
        <f t="shared" si="22"/>
        <v>0</v>
      </c>
      <c r="AT22" s="5">
        <f t="shared" si="23"/>
        <v>0</v>
      </c>
      <c r="AU22" s="5">
        <f t="shared" si="24"/>
        <v>0</v>
      </c>
      <c r="AV22" s="5">
        <f t="shared" si="25"/>
        <v>0</v>
      </c>
      <c r="AW22" s="5">
        <f t="shared" si="26"/>
        <v>0</v>
      </c>
      <c r="AX22" s="5">
        <f t="shared" si="27"/>
        <v>0</v>
      </c>
      <c r="AY22" s="5">
        <f t="shared" si="28"/>
        <v>0</v>
      </c>
      <c r="AZ22" s="5">
        <f t="shared" si="29"/>
        <v>0</v>
      </c>
      <c r="BA22" s="5">
        <f t="shared" si="41"/>
        <v>0</v>
      </c>
      <c r="BB22" s="5">
        <f t="shared" si="30"/>
        <v>0</v>
      </c>
      <c r="BC22" s="5">
        <f t="shared" si="31"/>
        <v>0</v>
      </c>
      <c r="BD22" s="5">
        <f t="shared" si="32"/>
        <v>42</v>
      </c>
      <c r="BE22" s="75">
        <f>RANK(BA22,BA$20:BA$23)</f>
        <v>1</v>
      </c>
      <c r="BF22" s="75">
        <f>SUMPRODUCT((BA$20:BA$23=BA22)*(AZ$20:AZ$23&gt;AZ22))</f>
        <v>0</v>
      </c>
      <c r="BG22" s="75">
        <f>SUMPRODUCT((BA$20:BA$23=BA22)*(BE$20:BE$23=BE22)*(AZ$20:AZ$23=AZ22)*(AQ$20:AQ$23&gt;AQ22))</f>
        <v>0</v>
      </c>
      <c r="BH22" s="75">
        <f>SUMPRODUCT((BA$20:BA$23=BA22)*(BE$20:BE$23=BE22)*(AZ$20:AZ$23=AZ22)*(AQ$20:AQ$23=AQ22)*(BB$20:BB$23&gt;BB22))</f>
        <v>0</v>
      </c>
      <c r="BI22" s="75">
        <f>SUMPRODUCT((BA$20:BA$23=BA22)*(BE$20:BE$23=BE22)*(AZ$20:AZ$23=AZ22)*(AQ$20:AQ$23=AQ22)*(BB$20:BB$23=BB22)*(BC$20:BC$23&gt;BC22))</f>
        <v>0</v>
      </c>
      <c r="BJ22" s="75">
        <f>SUMPRODUCT((BA$20:BA$23=BA22)*(BE$20:BE$23=BE22)*(AZ$20:AZ$23=AZ22)*(AQ$20:AQ$23=AQ22)*(BB$20:BB$23=BB22)*(BC$20:BC$23=BC22)*(BD$20:BD$23&gt;BD22))</f>
        <v>2</v>
      </c>
      <c r="BK22" s="5" t="str">
        <f>IF(AND(COUNTIF($AF$4:$AF$35,Gruppenphase!G31)&gt;0,COUNTIF($AF$4:$AF$35,Gruppenphase!M31)&gt;0,Gruppenphase!I31&lt;&gt;"",Gruppenphase!K31&lt;&gt;""),Gruppenphase!G31,"")</f>
        <v/>
      </c>
      <c r="BL22" s="5" t="str">
        <f>IF($BK22&lt;&gt;"",Gruppenphase!I31,"")</f>
        <v/>
      </c>
      <c r="BM22" s="5" t="str">
        <f>IF($BK22&lt;&gt;"",Gruppenphase!K31,"")</f>
        <v/>
      </c>
      <c r="BN22" s="5" t="str">
        <f>IF($BK22&lt;&gt;"",Gruppenphase!M31,"")</f>
        <v/>
      </c>
      <c r="BO22" s="5">
        <f t="shared" si="2"/>
        <v>3</v>
      </c>
      <c r="BP22" s="5" t="str">
        <f t="shared" si="33"/>
        <v>Bayer Leverkusen</v>
      </c>
      <c r="BQ22" s="5">
        <f>VLOOKUP($AD22,$B$20:$W$23,22,FALSE)</f>
        <v>0</v>
      </c>
      <c r="BR22" s="5" t="str">
        <f>IF(AND(BQ22&lt;&gt;BQ21,BQ22=BQ23),AD22,"")</f>
        <v/>
      </c>
      <c r="BS22" s="5">
        <f>SUMPRODUCT(($BK$4:$BK$99='Dummy Table'!$AF22)*($BL$4:$BL$99&gt;$BM$4:$BM$99))</f>
        <v>0</v>
      </c>
      <c r="BT22" s="5">
        <f>SUMPRODUCT(($BK$4:$BK$99='Dummy Table'!$AF22)*($BL$4:$BL$99=$BM$4:$BM$99))</f>
        <v>0</v>
      </c>
      <c r="BU22" s="5">
        <f>SUMPRODUCT(($BK$4:$BK$99='Dummy Table'!$AF22)*($BL$4:$BL$99&lt;$BM$4:$BM$99))</f>
        <v>0</v>
      </c>
      <c r="BV22" s="5">
        <f>SUMIF($BK$4:$BK$99,'Dummy Table'!$AF22,$BL$4:$BL$99)</f>
        <v>0</v>
      </c>
      <c r="BW22" s="5">
        <f>SUMIF($BK$4:$BK$99,'Dummy Table'!$AF22,$BM$4:$BM$99)</f>
        <v>0</v>
      </c>
      <c r="BX22" s="5">
        <f t="shared" si="34"/>
        <v>0</v>
      </c>
      <c r="BY22" s="5" t="str">
        <f t="shared" si="35"/>
        <v/>
      </c>
      <c r="BZ22" s="5">
        <f>SUMPRODUCT(($BN$4:$BN$99='Dummy Table'!$AF22)*($BL$4:$BL$99&lt;$BM$4:$BM$99))</f>
        <v>0</v>
      </c>
      <c r="CA22" s="5">
        <f>SUMPRODUCT(($BN$4:$BN$99='Dummy Table'!$AF22)*($BL$4:$BL$99=$BM$4:$BM$99))</f>
        <v>0</v>
      </c>
      <c r="CB22" s="5">
        <f>SUMPRODUCT(($BN$4:$BN$99='Dummy Table'!$AF22)*($BL$4:$BL$99&gt;$BM$4:$BM$99))</f>
        <v>0</v>
      </c>
      <c r="CC22" s="5">
        <f>SUMIF($BN$4:$BN$99,'Dummy Table'!$AF22,$BM$4:$BM$99)</f>
        <v>0</v>
      </c>
      <c r="CD22" s="5">
        <f>SUMIF($BN$4:$BN$99,'Dummy Table'!$AF22,$BL$4:$BL$99)</f>
        <v>0</v>
      </c>
      <c r="CE22" s="5">
        <f t="shared" si="36"/>
        <v>0</v>
      </c>
      <c r="CF22" s="5" t="str">
        <f t="shared" si="37"/>
        <v/>
      </c>
      <c r="CG22" s="5">
        <f t="shared" si="38"/>
        <v>0</v>
      </c>
      <c r="CH22" s="5">
        <f t="shared" si="3"/>
        <v>0</v>
      </c>
      <c r="CI22" s="5">
        <f t="shared" si="4"/>
        <v>0</v>
      </c>
      <c r="CJ22" s="5">
        <f t="shared" si="5"/>
        <v>0</v>
      </c>
      <c r="CK22" s="5">
        <f t="shared" si="6"/>
        <v>0</v>
      </c>
      <c r="CL22" s="5">
        <f t="shared" si="7"/>
        <v>0</v>
      </c>
      <c r="CM22" s="5">
        <f t="shared" si="42"/>
        <v>-1</v>
      </c>
      <c r="CN22" s="5">
        <v>19</v>
      </c>
      <c r="CO22" s="5">
        <f>RANK(CM22,CM$20:CM$23)</f>
        <v>1</v>
      </c>
      <c r="CP22" s="5">
        <f>SUMPRODUCT((CM$20:CM$23=CM22)*(CO$20:CO$23=CO22)*(CC$20:CC$23&gt;CC22))</f>
        <v>0</v>
      </c>
      <c r="CQ22" s="5">
        <f>SUMPRODUCT((CM$20:CM$23=CM22)*(CL$20:CL$23&gt;CL22))</f>
        <v>0</v>
      </c>
      <c r="CR22" s="5">
        <f>SUMPRODUCT((CO$20:CO$23=CO22)*(CQ$20:CQ$23=CQ22)*(CJ$20:CJ$23&gt;CJ22))</f>
        <v>0</v>
      </c>
      <c r="CS22" s="5">
        <f>SUMPRODUCT((CO$20:CO$23=CO22)*(CQ$20:CQ$23=CQ22)*(CJ$20:CJ$23=CJ22)*(CN$20:CN$23&gt;CN22))</f>
        <v>1</v>
      </c>
      <c r="CT22" s="5" t="str">
        <f>IF(AND(COUNTIF($AF$4:$AF$35,Gruppenphase!$G31)&gt;0,COUNTIF($AF$4:$AF$35,Gruppenphase!$M31)&gt;0),Gruppenphase!$G31,"")</f>
        <v>Napoli</v>
      </c>
      <c r="CU22" s="5" t="str">
        <f>IF($BK22&lt;&gt;"",Gruppenphase!$I31,"")</f>
        <v/>
      </c>
      <c r="CV22" s="5" t="str">
        <f>IF($BK22&lt;&gt;"",Gruppenphase!$K31,"")</f>
        <v/>
      </c>
      <c r="CW22" s="5" t="str">
        <f>IF($BK22&lt;&gt;"",Gruppenphase!$M31,"")</f>
        <v/>
      </c>
      <c r="CX22" s="5" t="str">
        <f t="shared" si="39"/>
        <v/>
      </c>
      <c r="CY22" s="5" t="str">
        <f t="shared" si="40"/>
        <v/>
      </c>
      <c r="CZ22" s="5">
        <v>3</v>
      </c>
      <c r="DA22" s="5" t="str">
        <f t="shared" si="43"/>
        <v/>
      </c>
      <c r="DB22" s="5">
        <f>IF(AND(DA22="",DA21="",DA20=""),CZ22,IF(AND(DA20&lt;&gt;"",DA21="",DA22=""),2,IF(AND(DA20&lt;&gt;"",DA21&lt;&gt;"",DA22=""),1,"")))</f>
        <v>3</v>
      </c>
      <c r="DC22" s="5" t="str">
        <f>VLOOKUP(DB22,$BO$20:$BP$23,2,FALSE)</f>
        <v>Bayer Leverkusen</v>
      </c>
      <c r="DD22" s="5">
        <v>3</v>
      </c>
      <c r="DE22" s="5" t="str">
        <f>IF(CY22&lt;&gt;"",IF(CX22&lt;CX23,CY22,CY23),IF(DC22&lt;&gt;"",DC22,DA22))</f>
        <v>Bayer Leverkusen</v>
      </c>
    </row>
    <row r="23" spans="1:109" x14ac:dyDescent="0.2">
      <c r="A23" s="5">
        <f t="shared" si="8"/>
        <v>4</v>
      </c>
      <c r="B23" s="5" t="str">
        <f>'Club Namen'!B22</f>
        <v>Genk</v>
      </c>
      <c r="C23" s="5">
        <f>SUMPRODUCT((Gruppenphase!$I$13:$I$108&lt;&gt;"")*(Gruppenphase!$K$13:$K$108&lt;&gt;"")*(Gruppenphase!$G$13:$G$108='Dummy Table'!$B23)*(Gruppenphase!$I$13:$I$108&gt;Gruppenphase!$K$13:$K$108))</f>
        <v>0</v>
      </c>
      <c r="D23" s="5">
        <f>SUMPRODUCT((Gruppenphase!$I$13:$I$108&lt;&gt;"")*(Gruppenphase!$K$13:$K$108&lt;&gt;"")*(Gruppenphase!$G$13:$G$108='Dummy Table'!$B23)*(Gruppenphase!$I$13:$I$108=Gruppenphase!$K$13:$K$108))</f>
        <v>0</v>
      </c>
      <c r="E23" s="5">
        <f>SUMPRODUCT((Gruppenphase!$I$13:$I$108&lt;&gt;"")*(Gruppenphase!$K$13:$K$108&lt;&gt;"")*(Gruppenphase!$G$13:$G$108='Dummy Table'!$B23)*(Gruppenphase!$I$13:$I$108&lt;Gruppenphase!$K$13:$K$108))</f>
        <v>0</v>
      </c>
      <c r="F23" s="5">
        <f>SUMIF(Gruppenphase!$G$13:$G$108,'Dummy Table'!$B23,Gruppenphase!$I$13:$I$108)</f>
        <v>0</v>
      </c>
      <c r="G23" s="5">
        <f>SUMIF(Gruppenphase!$G$13:$G$108,'Dummy Table'!$B23,Gruppenphase!$K$13:$K$108)</f>
        <v>0</v>
      </c>
      <c r="H23" s="5">
        <f t="shared" si="9"/>
        <v>0</v>
      </c>
      <c r="I23" s="5">
        <f t="shared" si="10"/>
        <v>0</v>
      </c>
      <c r="J23" s="5">
        <f>SUMPRODUCT((Gruppenphase!$I$13:$I$108&lt;&gt;"")*(Gruppenphase!$K$13:$K$108&lt;&gt;"")*(Gruppenphase!$M$13:$M$108='Dummy Table'!$B23)*(Gruppenphase!$I$13:$I$108&lt;Gruppenphase!$K$13:$K$108))</f>
        <v>0</v>
      </c>
      <c r="K23" s="5">
        <f>SUMPRODUCT((Gruppenphase!$I$13:$I$108&lt;&gt;"")*(Gruppenphase!$K$13:$K$108&lt;&gt;"")*(Gruppenphase!$M$13:$M$108='Dummy Table'!$B23)*(Gruppenphase!$I$13:$I$108=Gruppenphase!$K$13:$K$108))</f>
        <v>0</v>
      </c>
      <c r="L23" s="5">
        <f>SUMPRODUCT((Gruppenphase!$I$13:$I$108&lt;&gt;"")*(Gruppenphase!$K$13:$K$108&lt;&gt;"")*(Gruppenphase!$M$13:$M$108='Dummy Table'!$B23)*(Gruppenphase!$I$13:$I$108&gt;Gruppenphase!$K$13:$K$108))</f>
        <v>0</v>
      </c>
      <c r="M23" s="5">
        <f>SUMIF(Gruppenphase!$M$13:$M$108,'Dummy Table'!$B23,Gruppenphase!$K$13:$K$108)</f>
        <v>0</v>
      </c>
      <c r="N23" s="5">
        <f>SUMIF(Gruppenphase!$M$13:$M$108,'Dummy Table'!$B23,Gruppenphase!$I$13:$I$108)</f>
        <v>0</v>
      </c>
      <c r="O23" s="5">
        <f t="shared" si="11"/>
        <v>0</v>
      </c>
      <c r="P23" s="5">
        <f t="shared" si="12"/>
        <v>0</v>
      </c>
      <c r="Q23" s="5">
        <f t="shared" si="13"/>
        <v>0</v>
      </c>
      <c r="R23" s="5">
        <f t="shared" si="14"/>
        <v>0</v>
      </c>
      <c r="S23" s="5">
        <f t="shared" si="15"/>
        <v>0</v>
      </c>
      <c r="T23" s="5">
        <f t="shared" si="16"/>
        <v>0</v>
      </c>
      <c r="U23" s="5">
        <f t="shared" si="17"/>
        <v>0</v>
      </c>
      <c r="V23" s="5">
        <f t="shared" si="18"/>
        <v>0</v>
      </c>
      <c r="W23" s="5">
        <f t="shared" si="19"/>
        <v>0</v>
      </c>
      <c r="X23" s="5">
        <v>1</v>
      </c>
      <c r="Y23" s="5">
        <f>RANK(W23,W$20:W$23)</f>
        <v>1</v>
      </c>
      <c r="Z23" s="5">
        <f>SUMPRODUCT((W$20:W$23=W23)*(V$20:V$23&gt;V23))</f>
        <v>0</v>
      </c>
      <c r="AA23" s="5">
        <f>SUMPRODUCT((Y$20:Y$23=Y23)*(Z$20:Z$23=Z23)*(T$20:T$23&gt;T23))</f>
        <v>0</v>
      </c>
      <c r="AB23" s="5">
        <f>SUMPRODUCT((Y$20:Y$23=Y23)*(Z$20:Z$23=Z23)*(T$20:T$23=T23)*(X$20:X$23&gt;X23))</f>
        <v>3</v>
      </c>
      <c r="AC23" s="5">
        <v>4</v>
      </c>
      <c r="AD23" s="5" t="str">
        <f>VLOOKUP(AC23,$A$20:$B$23,2,FALSE)</f>
        <v>Genk</v>
      </c>
      <c r="AE23" s="5">
        <f>VLOOKUP($AD23,$B$20:$W$23,22,FALSE)</f>
        <v>0</v>
      </c>
      <c r="AF23" s="5" t="str">
        <f>IF(AND(AE23=AE22,AE22=AE21),AD23,"")</f>
        <v>Genk</v>
      </c>
      <c r="AG23" s="5">
        <f>SUMPRODUCT(($BK$4:$BK$99='Dummy Table'!$AF23)*($BL$4:$BL$99&gt;$BM$4:$BM$99))</f>
        <v>0</v>
      </c>
      <c r="AH23" s="5">
        <f>SUMPRODUCT(($BK$4:$BK$99='Dummy Table'!$AF23)*($BL$4:$BL$99=$BM$4:$BM$99))</f>
        <v>0</v>
      </c>
      <c r="AI23" s="5">
        <f>SUMPRODUCT(($BK$4:$BK$99='Dummy Table'!$AF23)*($BL$4:$BL$99&lt;$BM$4:$BM$99))</f>
        <v>0</v>
      </c>
      <c r="AJ23" s="5">
        <f>SUMIF($BK$4:$BK$99,'Dummy Table'!$AF23,$BL$4:$BL$99)</f>
        <v>0</v>
      </c>
      <c r="AK23" s="5">
        <f>SUMIF($BK$4:$BK$99,'Dummy Table'!$AF23,$BM$4:$BM$99)</f>
        <v>0</v>
      </c>
      <c r="AL23" s="5">
        <f t="shared" si="20"/>
        <v>0</v>
      </c>
      <c r="AM23" s="5">
        <f t="shared" si="21"/>
        <v>0</v>
      </c>
      <c r="AN23" s="5">
        <f>SUMPRODUCT(($BN$4:$BN$99='Dummy Table'!$AF23)*($BL$4:$BL$99&lt;$BM$4:$BM$99))</f>
        <v>0</v>
      </c>
      <c r="AO23" s="5">
        <f>SUMPRODUCT(($BN$4:$BN$99='Dummy Table'!$AF23)*($BL$4:$BL$99=$BM$4:$BM$99))</f>
        <v>0</v>
      </c>
      <c r="AP23" s="5">
        <f>SUMPRODUCT(($BN$4:$BN$99='Dummy Table'!$AF23)*($BL$4:$BL$99&gt;$BM$4:$BM$99))</f>
        <v>0</v>
      </c>
      <c r="AQ23" s="5">
        <f>SUMIF($BN$4:$BN$99,'Dummy Table'!$AF23,$BM$4:$BM$99)</f>
        <v>0</v>
      </c>
      <c r="AR23" s="5">
        <f>SUMIF($BN$4:$BN$99,'Dummy Table'!$AF23,$BL$4:$BL$99)</f>
        <v>0</v>
      </c>
      <c r="AS23" s="5">
        <f t="shared" si="22"/>
        <v>0</v>
      </c>
      <c r="AT23" s="5">
        <f t="shared" si="23"/>
        <v>0</v>
      </c>
      <c r="AU23" s="5">
        <f t="shared" si="24"/>
        <v>0</v>
      </c>
      <c r="AV23" s="5">
        <f t="shared" si="25"/>
        <v>0</v>
      </c>
      <c r="AW23" s="5">
        <f t="shared" si="26"/>
        <v>0</v>
      </c>
      <c r="AX23" s="5">
        <f t="shared" si="27"/>
        <v>0</v>
      </c>
      <c r="AY23" s="5">
        <f t="shared" si="28"/>
        <v>0</v>
      </c>
      <c r="AZ23" s="5">
        <f t="shared" si="29"/>
        <v>0</v>
      </c>
      <c r="BA23" s="5">
        <f t="shared" si="41"/>
        <v>0</v>
      </c>
      <c r="BB23" s="5">
        <f t="shared" si="30"/>
        <v>0</v>
      </c>
      <c r="BC23" s="5">
        <f t="shared" si="31"/>
        <v>0</v>
      </c>
      <c r="BD23" s="5">
        <f t="shared" si="32"/>
        <v>1</v>
      </c>
      <c r="BE23" s="75">
        <f>RANK(BA23,BA$20:BA$23)</f>
        <v>1</v>
      </c>
      <c r="BF23" s="75">
        <f>SUMPRODUCT((BA$20:BA$23=BA23)*(AZ$20:AZ$23&gt;AZ23))</f>
        <v>0</v>
      </c>
      <c r="BG23" s="75">
        <f>SUMPRODUCT((BA$20:BA$23=BA23)*(BE$20:BE$23=BE23)*(AZ$20:AZ$23=AZ23)*(AQ$20:AQ$23&gt;AQ23))</f>
        <v>0</v>
      </c>
      <c r="BH23" s="75">
        <f>SUMPRODUCT((BA$20:BA$23=BA23)*(BE$20:BE$23=BE23)*(AZ$20:AZ$23=AZ23)*(AQ$20:AQ$23=AQ23)*(BB$20:BB$23&gt;BB23))</f>
        <v>0</v>
      </c>
      <c r="BI23" s="75">
        <f>SUMPRODUCT((BA$20:BA$23=BA23)*(BE$20:BE$23=BE23)*(AZ$20:AZ$23=AZ23)*(AQ$20:AQ$23=AQ23)*(BB$20:BB$23=BB23)*(BC$20:BC$23&gt;BC23))</f>
        <v>0</v>
      </c>
      <c r="BJ23" s="75">
        <f>SUMPRODUCT((BA$20:BA$23=BA23)*(BE$20:BE$23=BE23)*(AZ$20:AZ$23=AZ23)*(AQ$20:AQ$23=AQ23)*(BB$20:BB$23=BB23)*(BC$20:BC$23=BC23)*(BD$20:BD$23&gt;BD23))</f>
        <v>3</v>
      </c>
      <c r="BK23" s="5" t="str">
        <f>IF(AND(COUNTIF($AF$4:$AF$35,Gruppenphase!G32)&gt;0,COUNTIF($AF$4:$AF$35,Gruppenphase!M32)&gt;0,Gruppenphase!I32&lt;&gt;"",Gruppenphase!K32&lt;&gt;""),Gruppenphase!G32,"")</f>
        <v/>
      </c>
      <c r="BL23" s="5" t="str">
        <f>IF($BK23&lt;&gt;"",Gruppenphase!I32,"")</f>
        <v/>
      </c>
      <c r="BM23" s="5" t="str">
        <f>IF($BK23&lt;&gt;"",Gruppenphase!K32,"")</f>
        <v/>
      </c>
      <c r="BN23" s="5" t="str">
        <f>IF($BK23&lt;&gt;"",Gruppenphase!M32,"")</f>
        <v/>
      </c>
      <c r="BO23" s="5">
        <f t="shared" si="2"/>
        <v>4</v>
      </c>
      <c r="BP23" s="5" t="str">
        <f t="shared" si="33"/>
        <v>Genk</v>
      </c>
      <c r="BQ23" s="5">
        <f>VLOOKUP($AD23,$B$20:$W$23,22,FALSE)</f>
        <v>0</v>
      </c>
      <c r="BR23" s="5" t="str">
        <f>IF(BR22&lt;&gt;"",AD23,"")</f>
        <v/>
      </c>
      <c r="BS23" s="5">
        <f>SUMPRODUCT(($BK$4:$BK$99='Dummy Table'!$AF23)*($BL$4:$BL$99&gt;$BM$4:$BM$99))</f>
        <v>0</v>
      </c>
      <c r="BT23" s="5">
        <f>SUMPRODUCT(($BK$4:$BK$99='Dummy Table'!$AF23)*($BL$4:$BL$99=$BM$4:$BM$99))</f>
        <v>0</v>
      </c>
      <c r="BU23" s="5">
        <f>SUMPRODUCT(($BK$4:$BK$99='Dummy Table'!$AF23)*($BL$4:$BL$99&lt;$BM$4:$BM$99))</f>
        <v>0</v>
      </c>
      <c r="BV23" s="5">
        <f>SUMIF($BK$4:$BK$99,'Dummy Table'!$AF23,$BL$4:$BL$99)</f>
        <v>0</v>
      </c>
      <c r="BW23" s="5">
        <f>SUMIF($BK$4:$BK$99,'Dummy Table'!$AF23,$BM$4:$BM$99)</f>
        <v>0</v>
      </c>
      <c r="BX23" s="5">
        <f t="shared" si="34"/>
        <v>0</v>
      </c>
      <c r="BY23" s="5" t="str">
        <f t="shared" si="35"/>
        <v/>
      </c>
      <c r="BZ23" s="5">
        <f>SUMPRODUCT(($BN$4:$BN$99='Dummy Table'!$AF23)*($BL$4:$BL$99&lt;$BM$4:$BM$99))</f>
        <v>0</v>
      </c>
      <c r="CA23" s="5">
        <f>SUMPRODUCT(($BN$4:$BN$99='Dummy Table'!$AF23)*($BL$4:$BL$99=$BM$4:$BM$99))</f>
        <v>0</v>
      </c>
      <c r="CB23" s="5">
        <f>SUMPRODUCT(($BN$4:$BN$99='Dummy Table'!$AF23)*($BL$4:$BL$99&gt;$BM$4:$BM$99))</f>
        <v>0</v>
      </c>
      <c r="CC23" s="5">
        <f>SUMIF($BN$4:$BN$99,'Dummy Table'!$AF23,$BM$4:$BM$99)</f>
        <v>0</v>
      </c>
      <c r="CD23" s="5">
        <f>SUMIF($BN$4:$BN$99,'Dummy Table'!$AF23,$BL$4:$BL$99)</f>
        <v>0</v>
      </c>
      <c r="CE23" s="5">
        <f t="shared" si="36"/>
        <v>0</v>
      </c>
      <c r="CF23" s="5" t="str">
        <f t="shared" si="37"/>
        <v/>
      </c>
      <c r="CG23" s="5">
        <f t="shared" si="38"/>
        <v>0</v>
      </c>
      <c r="CH23" s="5">
        <f t="shared" si="3"/>
        <v>0</v>
      </c>
      <c r="CI23" s="5">
        <f t="shared" si="4"/>
        <v>0</v>
      </c>
      <c r="CJ23" s="5">
        <f t="shared" si="5"/>
        <v>0</v>
      </c>
      <c r="CK23" s="5">
        <f t="shared" si="6"/>
        <v>0</v>
      </c>
      <c r="CL23" s="5">
        <f t="shared" si="7"/>
        <v>0</v>
      </c>
      <c r="CM23" s="5">
        <f t="shared" si="42"/>
        <v>-1</v>
      </c>
      <c r="CN23" s="5">
        <v>20</v>
      </c>
      <c r="CO23" s="5">
        <f>RANK(CM23,CM$20:CM$23)</f>
        <v>1</v>
      </c>
      <c r="CP23" s="5">
        <f>SUMPRODUCT((CM$20:CM$23=CM23)*(CO$20:CO$23=CO23)*(CC$20:CC$23&gt;CC23))</f>
        <v>0</v>
      </c>
      <c r="CQ23" s="5">
        <f>SUMPRODUCT((CM$20:CM$23=CM23)*(CL$20:CL$23&gt;CL23))</f>
        <v>0</v>
      </c>
      <c r="CR23" s="5">
        <f>SUMPRODUCT((CO$20:CO$23=CO23)*(CQ$20:CQ$23=CQ23)*(CJ$20:CJ$23&gt;CJ23))</f>
        <v>0</v>
      </c>
      <c r="CS23" s="5">
        <f>SUMPRODUCT((CO$20:CO$23=CO23)*(CQ$20:CQ$23=CQ23)*(CJ$20:CJ$23=CJ23)*(CN$20:CN$23&gt;CN23))</f>
        <v>0</v>
      </c>
      <c r="CT23" s="5" t="str">
        <f>IF(AND(COUNTIF($AF$4:$AF$35,Gruppenphase!$G32)&gt;0,COUNTIF($AF$4:$AF$35,Gruppenphase!$M32)&gt;0),Gruppenphase!$G32,"")</f>
        <v>Trabzonspor</v>
      </c>
      <c r="CU23" s="5" t="str">
        <f>IF($BK23&lt;&gt;"",Gruppenphase!$I32,"")</f>
        <v/>
      </c>
      <c r="CV23" s="5" t="str">
        <f>IF($BK23&lt;&gt;"",Gruppenphase!$K32,"")</f>
        <v/>
      </c>
      <c r="CW23" s="5" t="str">
        <f>IF($BK23&lt;&gt;"",Gruppenphase!$M32,"")</f>
        <v/>
      </c>
      <c r="CX23" s="5" t="str">
        <f t="shared" si="39"/>
        <v/>
      </c>
      <c r="CY23" s="5" t="str">
        <f t="shared" si="40"/>
        <v/>
      </c>
      <c r="CZ23" s="5">
        <v>4</v>
      </c>
      <c r="DA23" s="5" t="str">
        <f t="shared" si="43"/>
        <v/>
      </c>
      <c r="DB23" s="5">
        <f>IF(AND(DA23="",DA22="",DA21="",DA20=""),4,IF(AND(DA23="",DA22="",DA21=""),3,IF(AND(DA21&lt;&gt;"",DA22="",DA23=""),2,IF(AND(DA21&lt;&gt;"",DA22&lt;&gt;"",DA23=""),1,""))))</f>
        <v>4</v>
      </c>
      <c r="DC23" s="5" t="str">
        <f>VLOOKUP(DB23,$BO$20:$BP$23,2,FALSE)</f>
        <v>Genk</v>
      </c>
      <c r="DD23" s="5">
        <v>4</v>
      </c>
      <c r="DE23" s="5" t="str">
        <f>IF(CY23&lt;&gt;"",IF(CX22&lt;CX23,CY23,CY22),IF(DC23&lt;&gt;"",DC23,DA23))</f>
        <v>Genk</v>
      </c>
    </row>
    <row r="24" spans="1:109" x14ac:dyDescent="0.2">
      <c r="A24" s="5">
        <f t="shared" si="8"/>
        <v>1</v>
      </c>
      <c r="B24" s="5" t="str">
        <f>'Club Namen'!B23</f>
        <v>Arsenal</v>
      </c>
      <c r="C24" s="5">
        <f>SUMPRODUCT((Gruppenphase!$I$13:$I$108&lt;&gt;"")*(Gruppenphase!$K$13:$K$108&lt;&gt;"")*(Gruppenphase!$G$13:$G$108='Dummy Table'!$B24)*(Gruppenphase!$I$13:$I$108&gt;Gruppenphase!$K$13:$K$108))</f>
        <v>0</v>
      </c>
      <c r="D24" s="5">
        <f>SUMPRODUCT((Gruppenphase!$I$13:$I$108&lt;&gt;"")*(Gruppenphase!$K$13:$K$108&lt;&gt;"")*(Gruppenphase!$G$13:$G$108='Dummy Table'!$B24)*(Gruppenphase!$I$13:$I$108=Gruppenphase!$K$13:$K$108))</f>
        <v>0</v>
      </c>
      <c r="E24" s="5">
        <f>SUMPRODUCT((Gruppenphase!$I$13:$I$108&lt;&gt;"")*(Gruppenphase!$K$13:$K$108&lt;&gt;"")*(Gruppenphase!$G$13:$G$108='Dummy Table'!$B24)*(Gruppenphase!$I$13:$I$108&lt;Gruppenphase!$K$13:$K$108))</f>
        <v>0</v>
      </c>
      <c r="F24" s="5">
        <f>SUMIF(Gruppenphase!$G$13:$G$108,'Dummy Table'!$B24,Gruppenphase!$I$13:$I$108)</f>
        <v>0</v>
      </c>
      <c r="G24" s="5">
        <f>SUMIF(Gruppenphase!$G$13:$G$108,'Dummy Table'!$B24,Gruppenphase!$K$13:$K$108)</f>
        <v>0</v>
      </c>
      <c r="H24" s="5">
        <f t="shared" si="9"/>
        <v>0</v>
      </c>
      <c r="I24" s="5">
        <f t="shared" si="10"/>
        <v>0</v>
      </c>
      <c r="J24" s="5">
        <f>SUMPRODUCT((Gruppenphase!$I$13:$I$108&lt;&gt;"")*(Gruppenphase!$K$13:$K$108&lt;&gt;"")*(Gruppenphase!$M$13:$M$108='Dummy Table'!$B24)*(Gruppenphase!$I$13:$I$108&lt;Gruppenphase!$K$13:$K$108))</f>
        <v>0</v>
      </c>
      <c r="K24" s="5">
        <f>SUMPRODUCT((Gruppenphase!$I$13:$I$108&lt;&gt;"")*(Gruppenphase!$K$13:$K$108&lt;&gt;"")*(Gruppenphase!$M$13:$M$108='Dummy Table'!$B24)*(Gruppenphase!$I$13:$I$108=Gruppenphase!$K$13:$K$108))</f>
        <v>0</v>
      </c>
      <c r="L24" s="5">
        <f>SUMPRODUCT((Gruppenphase!$I$13:$I$108&lt;&gt;"")*(Gruppenphase!$K$13:$K$108&lt;&gt;"")*(Gruppenphase!$M$13:$M$108='Dummy Table'!$B24)*(Gruppenphase!$I$13:$I$108&gt;Gruppenphase!$K$13:$K$108))</f>
        <v>0</v>
      </c>
      <c r="M24" s="5">
        <f>SUMIF(Gruppenphase!$M$13:$M$108,'Dummy Table'!$B24,Gruppenphase!$K$13:$K$108)</f>
        <v>0</v>
      </c>
      <c r="N24" s="5">
        <f>SUMIF(Gruppenphase!$M$13:$M$108,'Dummy Table'!$B24,Gruppenphase!$I$13:$I$108)</f>
        <v>0</v>
      </c>
      <c r="O24" s="5">
        <f t="shared" si="11"/>
        <v>0</v>
      </c>
      <c r="P24" s="5">
        <f t="shared" si="12"/>
        <v>0</v>
      </c>
      <c r="Q24" s="5">
        <f t="shared" si="13"/>
        <v>0</v>
      </c>
      <c r="R24" s="5">
        <f t="shared" si="14"/>
        <v>0</v>
      </c>
      <c r="S24" s="5">
        <f t="shared" si="15"/>
        <v>0</v>
      </c>
      <c r="T24" s="5">
        <f t="shared" si="16"/>
        <v>0</v>
      </c>
      <c r="U24" s="5">
        <f t="shared" si="17"/>
        <v>0</v>
      </c>
      <c r="V24" s="5">
        <f t="shared" si="18"/>
        <v>0</v>
      </c>
      <c r="W24" s="5">
        <f t="shared" si="19"/>
        <v>0</v>
      </c>
      <c r="X24" s="5">
        <v>1189</v>
      </c>
      <c r="Y24" s="5">
        <f>RANK(W24,W$24:W$27)</f>
        <v>1</v>
      </c>
      <c r="Z24" s="5">
        <f>SUMPRODUCT((W$24:W$27=W24)*(V$24:V$27&gt;V24))</f>
        <v>0</v>
      </c>
      <c r="AA24" s="5">
        <f>SUMPRODUCT((Y$24:Y$27=Y24)*(Z$24:Z$27=Z24)*(T$24:T$27&gt;T24))</f>
        <v>0</v>
      </c>
      <c r="AB24" s="5">
        <f>SUMPRODUCT((Y$24:Y$27=Y24)*(Z$24:Z$27=Z24)*(T$24:T$27=T24)*(X$24:X$27&gt;X24))</f>
        <v>0</v>
      </c>
      <c r="AC24" s="5">
        <v>1</v>
      </c>
      <c r="AD24" s="5" t="str">
        <f>VLOOKUP(AC24,$A$24:$B$27,2,FALSE)</f>
        <v>Arsenal</v>
      </c>
      <c r="AE24" s="5">
        <f>VLOOKUP($AD24,$B$24:$W$27,22,FALSE)</f>
        <v>0</v>
      </c>
      <c r="AF24" s="5" t="str">
        <f>IF(AE24=AE25,AD24,"")</f>
        <v>Arsenal</v>
      </c>
      <c r="AG24" s="5">
        <f>SUMPRODUCT(($BK$4:$BK$99='Dummy Table'!$AF24)*($BL$4:$BL$99&gt;$BM$4:$BM$99))</f>
        <v>0</v>
      </c>
      <c r="AH24" s="5">
        <f>SUMPRODUCT(($BK$4:$BK$99='Dummy Table'!$AF24)*($BL$4:$BL$99=$BM$4:$BM$99))</f>
        <v>0</v>
      </c>
      <c r="AI24" s="5">
        <f>SUMPRODUCT(($BK$4:$BK$99='Dummy Table'!$AF24)*($BL$4:$BL$99&lt;$BM$4:$BM$99))</f>
        <v>0</v>
      </c>
      <c r="AJ24" s="5">
        <f>SUMIF($BK$4:$BK$99,'Dummy Table'!$AF24,$BL$4:$BL$99)</f>
        <v>0</v>
      </c>
      <c r="AK24" s="5">
        <f>SUMIF($BK$4:$BK$99,'Dummy Table'!$AF24,$BM$4:$BM$99)</f>
        <v>0</v>
      </c>
      <c r="AL24" s="5">
        <f t="shared" si="20"/>
        <v>0</v>
      </c>
      <c r="AM24" s="5">
        <f t="shared" si="21"/>
        <v>0</v>
      </c>
      <c r="AN24" s="5">
        <f>SUMPRODUCT(($BN$4:$BN$99='Dummy Table'!$AF24)*($BL$4:$BL$99&lt;$BM$4:$BM$99))</f>
        <v>0</v>
      </c>
      <c r="AO24" s="5">
        <f>SUMPRODUCT(($BN$4:$BN$99='Dummy Table'!$AF24)*($BL$4:$BL$99=$BM$4:$BM$99))</f>
        <v>0</v>
      </c>
      <c r="AP24" s="5">
        <f>SUMPRODUCT(($BN$4:$BN$99='Dummy Table'!$AF24)*($BL$4:$BL$99&gt;$BM$4:$BM$99))</f>
        <v>0</v>
      </c>
      <c r="AQ24" s="5">
        <f>SUMIF($BN$4:$BN$99,'Dummy Table'!$AF24,$BM$4:$BM$99)</f>
        <v>0</v>
      </c>
      <c r="AR24" s="5">
        <f>SUMIF($BN$4:$BN$99,'Dummy Table'!$AF24,$BL$4:$BL$99)</f>
        <v>0</v>
      </c>
      <c r="AS24" s="5">
        <f t="shared" si="22"/>
        <v>0</v>
      </c>
      <c r="AT24" s="5">
        <f t="shared" si="23"/>
        <v>0</v>
      </c>
      <c r="AU24" s="5">
        <f t="shared" si="24"/>
        <v>0</v>
      </c>
      <c r="AV24" s="5">
        <f t="shared" si="25"/>
        <v>0</v>
      </c>
      <c r="AW24" s="5">
        <f t="shared" si="26"/>
        <v>0</v>
      </c>
      <c r="AX24" s="5">
        <f t="shared" si="27"/>
        <v>0</v>
      </c>
      <c r="AY24" s="5">
        <f t="shared" si="28"/>
        <v>0</v>
      </c>
      <c r="AZ24" s="5">
        <f t="shared" si="29"/>
        <v>0</v>
      </c>
      <c r="BA24" s="5">
        <f t="shared" si="41"/>
        <v>0</v>
      </c>
      <c r="BB24" s="5">
        <f t="shared" si="30"/>
        <v>0</v>
      </c>
      <c r="BC24" s="5">
        <f t="shared" si="31"/>
        <v>0</v>
      </c>
      <c r="BD24" s="5">
        <f t="shared" si="32"/>
        <v>1189</v>
      </c>
      <c r="BE24" s="75">
        <f>RANK(BA24,BA$24:BA$27)</f>
        <v>1</v>
      </c>
      <c r="BF24" s="75">
        <f>SUMPRODUCT((BA$24:BA$27=BA24)*(AZ$24:AZ$27&gt;AZ24))</f>
        <v>0</v>
      </c>
      <c r="BG24" s="75">
        <f>SUMPRODUCT((BA$24:BA$27=BA24)*(BE$24:BE$27=BE24)*(AZ$24:AZ$27=AZ24)*(AQ$24:AQ$27&gt;AQ24))</f>
        <v>0</v>
      </c>
      <c r="BH24" s="75">
        <f>SUMPRODUCT((BA$24:BA$27=BA24)*(BE$24:BE$27=BE24)*(AZ$24:AZ$27=AZ24)*(AQ$24:AQ$27=AQ24)*(BB$24:BB$27&gt;BB24))</f>
        <v>0</v>
      </c>
      <c r="BI24" s="75">
        <f>SUMPRODUCT((BA$24:BA$27=BA24)*(BE$24:BE$27=BE24)*(AZ$24:AZ$27=AZ24)*(AQ$24:AQ$27=AQ24)*(BB$24:BB$27=BB24)*(BC$24:BC$27&gt;BC24))</f>
        <v>0</v>
      </c>
      <c r="BJ24" s="75">
        <f>SUMPRODUCT((BA$24:BA$27=BA24)*(BE$24:BE$27=BE24)*(AZ$24:AZ$27=AZ24)*(AQ$24:AQ$27=AQ24)*(BB$24:BB$27=BB24)*(BC$24:BC$27=BC24)*(BD$24:BD$27&gt;BD24))</f>
        <v>0</v>
      </c>
      <c r="BK24" s="5" t="str">
        <f>IF(AND(COUNTIF($AF$4:$AF$35,Gruppenphase!G33)&gt;0,COUNTIF($AF$4:$AF$35,Gruppenphase!M33)&gt;0,Gruppenphase!I33&lt;&gt;"",Gruppenphase!K33&lt;&gt;""),Gruppenphase!G33,"")</f>
        <v/>
      </c>
      <c r="BL24" s="5" t="str">
        <f>IF($BK24&lt;&gt;"",Gruppenphase!I33,"")</f>
        <v/>
      </c>
      <c r="BM24" s="5" t="str">
        <f>IF($BK24&lt;&gt;"",Gruppenphase!K33,"")</f>
        <v/>
      </c>
      <c r="BN24" s="5" t="str">
        <f>IF($BK24&lt;&gt;"",Gruppenphase!M33,"")</f>
        <v/>
      </c>
      <c r="BO24" s="5">
        <f t="shared" si="2"/>
        <v>1</v>
      </c>
      <c r="BP24" s="5" t="str">
        <f t="shared" si="33"/>
        <v>Arsenal</v>
      </c>
      <c r="BQ24" s="5">
        <f>VLOOKUP($AD24,$B$24:$W$27,22,FALSE)</f>
        <v>0</v>
      </c>
      <c r="BS24" s="5">
        <f>SUMPRODUCT(($BK$4:$BK$99='Dummy Table'!$AF24)*($BL$4:$BL$99&gt;$BM$4:$BM$99))</f>
        <v>0</v>
      </c>
      <c r="BT24" s="5">
        <f>SUMPRODUCT(($BK$4:$BK$99='Dummy Table'!$AF24)*($BL$4:$BL$99=$BM$4:$BM$99))</f>
        <v>0</v>
      </c>
      <c r="BU24" s="5">
        <f>SUMPRODUCT(($BK$4:$BK$99='Dummy Table'!$AF24)*($BL$4:$BL$99&lt;$BM$4:$BM$99))</f>
        <v>0</v>
      </c>
      <c r="BV24" s="5">
        <f>SUMIF($BK$4:$BK$99,'Dummy Table'!$AF24,$BL$4:$BL$99)</f>
        <v>0</v>
      </c>
      <c r="BW24" s="5">
        <f>SUMIF($BK$4:$BK$99,'Dummy Table'!$AF24,$BM$4:$BM$99)</f>
        <v>0</v>
      </c>
      <c r="BX24" s="5">
        <f t="shared" si="34"/>
        <v>0</v>
      </c>
      <c r="BY24" s="5" t="str">
        <f t="shared" si="35"/>
        <v/>
      </c>
      <c r="BZ24" s="5">
        <f>SUMPRODUCT(($BN$4:$BN$99='Dummy Table'!$AF24)*($BL$4:$BL$99&lt;$BM$4:$BM$99))</f>
        <v>0</v>
      </c>
      <c r="CA24" s="5">
        <f>SUMPRODUCT(($BN$4:$BN$99='Dummy Table'!$AF24)*($BL$4:$BL$99=$BM$4:$BM$99))</f>
        <v>0</v>
      </c>
      <c r="CB24" s="5">
        <f>SUMPRODUCT(($BN$4:$BN$99='Dummy Table'!$AF24)*($BL$4:$BL$99&gt;$BM$4:$BM$99))</f>
        <v>0</v>
      </c>
      <c r="CC24" s="5">
        <f>SUMIF($BN$4:$BN$99,'Dummy Table'!$AF24,$BM$4:$BM$99)</f>
        <v>0</v>
      </c>
      <c r="CD24" s="5">
        <f>SUMIF($BN$4:$BN$99,'Dummy Table'!$AF24,$BL$4:$BL$99)</f>
        <v>0</v>
      </c>
      <c r="CE24" s="5">
        <f t="shared" si="36"/>
        <v>0</v>
      </c>
      <c r="CF24" s="5" t="str">
        <f t="shared" si="37"/>
        <v/>
      </c>
      <c r="CG24" s="5">
        <f t="shared" si="38"/>
        <v>0</v>
      </c>
      <c r="CH24" s="5">
        <f t="shared" si="3"/>
        <v>0</v>
      </c>
      <c r="CI24" s="5">
        <f t="shared" si="4"/>
        <v>0</v>
      </c>
      <c r="CJ24" s="5">
        <f t="shared" si="5"/>
        <v>0</v>
      </c>
      <c r="CK24" s="5">
        <f t="shared" si="6"/>
        <v>0</v>
      </c>
      <c r="CL24" s="5">
        <f t="shared" si="7"/>
        <v>0</v>
      </c>
      <c r="CM24" s="5">
        <f t="shared" si="42"/>
        <v>-1</v>
      </c>
      <c r="CN24" s="5">
        <v>21</v>
      </c>
      <c r="CO24" s="5">
        <f>RANK(CM24,CM$24:CM$27)</f>
        <v>1</v>
      </c>
      <c r="CP24" s="5">
        <f>SUMPRODUCT((CM$24:CM$27=CM24)*(CO$24:CO$27=CO24)*(CC$24:CC$27&gt;CC24))</f>
        <v>0</v>
      </c>
      <c r="CQ24" s="5">
        <f>SUMPRODUCT((CM$24:CM$27=CM24)*(CL$24:CL$27&gt;CL24))</f>
        <v>0</v>
      </c>
      <c r="CR24" s="5">
        <f>SUMPRODUCT((CO$24:CO$27=CO24)*(CQ$24:CQ$27=CQ24)*(CJ$24:CJ$27&gt;CJ24))</f>
        <v>0</v>
      </c>
      <c r="CS24" s="5">
        <f>SUMPRODUCT((CO$24:CO$27=CO24)*(CQ$24:CQ$27=CQ24)*(CJ$24:CJ$27=CJ24)*(CN$24:CN$27&gt;CN24))</f>
        <v>3</v>
      </c>
      <c r="CT24" s="5" t="str">
        <f>IF(AND(COUNTIF($AF$4:$AF$35,Gruppenphase!$G33)&gt;0,COUNTIF($AF$4:$AF$35,Gruppenphase!$M33)&gt;0),Gruppenphase!$G33,"")</f>
        <v>Manchester United</v>
      </c>
      <c r="CU24" s="5" t="str">
        <f>IF($BK24&lt;&gt;"",Gruppenphase!$I33,"")</f>
        <v/>
      </c>
      <c r="CV24" s="5" t="str">
        <f>IF($BK24&lt;&gt;"",Gruppenphase!$K33,"")</f>
        <v/>
      </c>
      <c r="CW24" s="5" t="str">
        <f>IF($BK24&lt;&gt;"",Gruppenphase!$M33,"")</f>
        <v/>
      </c>
      <c r="CX24" s="5" t="str">
        <f t="shared" si="39"/>
        <v/>
      </c>
      <c r="CY24" s="5" t="str">
        <f t="shared" si="40"/>
        <v/>
      </c>
      <c r="CZ24" s="5">
        <v>1</v>
      </c>
      <c r="DA24" s="5" t="str">
        <f t="shared" si="43"/>
        <v/>
      </c>
      <c r="DB24" s="5">
        <f>IF(DA24="",CZ24,"")</f>
        <v>1</v>
      </c>
      <c r="DC24" s="5" t="str">
        <f>VLOOKUP(DB24,$BO$24:$BP$27,2,FALSE)</f>
        <v>Arsenal</v>
      </c>
      <c r="DD24" s="5">
        <v>1</v>
      </c>
      <c r="DE24" s="5" t="str">
        <f>IF(DA24="",DC24,DA24)</f>
        <v>Arsenal</v>
      </c>
    </row>
    <row r="25" spans="1:109" x14ac:dyDescent="0.2">
      <c r="A25" s="5">
        <f t="shared" si="8"/>
        <v>2</v>
      </c>
      <c r="B25" s="5" t="str">
        <f>'Club Namen'!B24</f>
        <v>Marseille</v>
      </c>
      <c r="C25" s="5">
        <f>SUMPRODUCT((Gruppenphase!$I$13:$I$108&lt;&gt;"")*(Gruppenphase!$K$13:$K$108&lt;&gt;"")*(Gruppenphase!$G$13:$G$108='Dummy Table'!$B25)*(Gruppenphase!$I$13:$I$108&gt;Gruppenphase!$K$13:$K$108))</f>
        <v>0</v>
      </c>
      <c r="D25" s="5">
        <f>SUMPRODUCT((Gruppenphase!$I$13:$I$108&lt;&gt;"")*(Gruppenphase!$K$13:$K$108&lt;&gt;"")*(Gruppenphase!$G$13:$G$108='Dummy Table'!$B25)*(Gruppenphase!$I$13:$I$108=Gruppenphase!$K$13:$K$108))</f>
        <v>0</v>
      </c>
      <c r="E25" s="5">
        <f>SUMPRODUCT((Gruppenphase!$I$13:$I$108&lt;&gt;"")*(Gruppenphase!$K$13:$K$108&lt;&gt;"")*(Gruppenphase!$G$13:$G$108='Dummy Table'!$B25)*(Gruppenphase!$I$13:$I$108&lt;Gruppenphase!$K$13:$K$108))</f>
        <v>0</v>
      </c>
      <c r="F25" s="5">
        <f>SUMIF(Gruppenphase!$G$13:$G$108,'Dummy Table'!$B25,Gruppenphase!$I$13:$I$108)</f>
        <v>0</v>
      </c>
      <c r="G25" s="5">
        <f>SUMIF(Gruppenphase!$G$13:$G$108,'Dummy Table'!$B25,Gruppenphase!$K$13:$K$108)</f>
        <v>0</v>
      </c>
      <c r="H25" s="5">
        <f t="shared" si="9"/>
        <v>0</v>
      </c>
      <c r="I25" s="5">
        <f t="shared" si="10"/>
        <v>0</v>
      </c>
      <c r="J25" s="5">
        <f>SUMPRODUCT((Gruppenphase!$I$13:$I$108&lt;&gt;"")*(Gruppenphase!$K$13:$K$108&lt;&gt;"")*(Gruppenphase!$M$13:$M$108='Dummy Table'!$B25)*(Gruppenphase!$I$13:$I$108&lt;Gruppenphase!$K$13:$K$108))</f>
        <v>0</v>
      </c>
      <c r="K25" s="5">
        <f>SUMPRODUCT((Gruppenphase!$I$13:$I$108&lt;&gt;"")*(Gruppenphase!$K$13:$K$108&lt;&gt;"")*(Gruppenphase!$M$13:$M$108='Dummy Table'!$B25)*(Gruppenphase!$I$13:$I$108=Gruppenphase!$K$13:$K$108))</f>
        <v>0</v>
      </c>
      <c r="L25" s="5">
        <f>SUMPRODUCT((Gruppenphase!$I$13:$I$108&lt;&gt;"")*(Gruppenphase!$K$13:$K$108&lt;&gt;"")*(Gruppenphase!$M$13:$M$108='Dummy Table'!$B25)*(Gruppenphase!$I$13:$I$108&gt;Gruppenphase!$K$13:$K$108))</f>
        <v>0</v>
      </c>
      <c r="M25" s="5">
        <f>SUMIF(Gruppenphase!$M$13:$M$108,'Dummy Table'!$B25,Gruppenphase!$K$13:$K$108)</f>
        <v>0</v>
      </c>
      <c r="N25" s="5">
        <f>SUMIF(Gruppenphase!$M$13:$M$108,'Dummy Table'!$B25,Gruppenphase!$I$13:$I$108)</f>
        <v>0</v>
      </c>
      <c r="O25" s="5">
        <f t="shared" si="11"/>
        <v>0</v>
      </c>
      <c r="P25" s="5">
        <f t="shared" si="12"/>
        <v>0</v>
      </c>
      <c r="Q25" s="5">
        <f t="shared" si="13"/>
        <v>0</v>
      </c>
      <c r="R25" s="5">
        <f t="shared" si="14"/>
        <v>0</v>
      </c>
      <c r="S25" s="5">
        <f t="shared" si="15"/>
        <v>0</v>
      </c>
      <c r="T25" s="5">
        <f t="shared" si="16"/>
        <v>0</v>
      </c>
      <c r="U25" s="5">
        <f t="shared" si="17"/>
        <v>0</v>
      </c>
      <c r="V25" s="5">
        <f t="shared" si="18"/>
        <v>0</v>
      </c>
      <c r="W25" s="5">
        <f t="shared" si="19"/>
        <v>0</v>
      </c>
      <c r="X25" s="5">
        <v>87</v>
      </c>
      <c r="Y25" s="5">
        <f>RANK(W25,W$24:W$27)</f>
        <v>1</v>
      </c>
      <c r="Z25" s="5">
        <f>SUMPRODUCT((W$24:W$27=W25)*(V$24:V$27&gt;V25))</f>
        <v>0</v>
      </c>
      <c r="AA25" s="5">
        <f>SUMPRODUCT((Y$24:Y$27=Y25)*(Z$24:Z$27=Z25)*(T$24:T$27&gt;T25))</f>
        <v>0</v>
      </c>
      <c r="AB25" s="5">
        <f>SUMPRODUCT((Y$24:Y$27=Y25)*(Z$24:Z$27=Z25)*(T$24:T$27=T25)*(X$24:X$27&gt;X25))</f>
        <v>1</v>
      </c>
      <c r="AC25" s="5">
        <v>2</v>
      </c>
      <c r="AD25" s="5" t="str">
        <f>VLOOKUP(AC25,$A$24:$B$27,2,FALSE)</f>
        <v>Marseille</v>
      </c>
      <c r="AE25" s="5">
        <f>VLOOKUP($AD25,$B$24:$W$27,22,FALSE)</f>
        <v>0</v>
      </c>
      <c r="AF25" s="5" t="str">
        <f>IF(OR(AE25=AE24,AE25=AE26),AD25,"")</f>
        <v>Marseille</v>
      </c>
      <c r="AG25" s="5">
        <f>SUMPRODUCT(($BK$4:$BK$99='Dummy Table'!$AF25)*($BL$4:$BL$99&gt;$BM$4:$BM$99))</f>
        <v>0</v>
      </c>
      <c r="AH25" s="5">
        <f>SUMPRODUCT(($BK$4:$BK$99='Dummy Table'!$AF25)*($BL$4:$BL$99=$BM$4:$BM$99))</f>
        <v>0</v>
      </c>
      <c r="AI25" s="5">
        <f>SUMPRODUCT(($BK$4:$BK$99='Dummy Table'!$AF25)*($BL$4:$BL$99&lt;$BM$4:$BM$99))</f>
        <v>0</v>
      </c>
      <c r="AJ25" s="5">
        <f>SUMIF($BK$4:$BK$99,'Dummy Table'!$AF25,$BL$4:$BL$99)</f>
        <v>0</v>
      </c>
      <c r="AK25" s="5">
        <f>SUMIF($BK$4:$BK$99,'Dummy Table'!$AF25,$BM$4:$BM$99)</f>
        <v>0</v>
      </c>
      <c r="AL25" s="5">
        <f t="shared" si="20"/>
        <v>0</v>
      </c>
      <c r="AM25" s="5">
        <f t="shared" si="21"/>
        <v>0</v>
      </c>
      <c r="AN25" s="5">
        <f>SUMPRODUCT(($BN$4:$BN$99='Dummy Table'!$AF25)*($BL$4:$BL$99&lt;$BM$4:$BM$99))</f>
        <v>0</v>
      </c>
      <c r="AO25" s="5">
        <f>SUMPRODUCT(($BN$4:$BN$99='Dummy Table'!$AF25)*($BL$4:$BL$99=$BM$4:$BM$99))</f>
        <v>0</v>
      </c>
      <c r="AP25" s="5">
        <f>SUMPRODUCT(($BN$4:$BN$99='Dummy Table'!$AF25)*($BL$4:$BL$99&gt;$BM$4:$BM$99))</f>
        <v>0</v>
      </c>
      <c r="AQ25" s="5">
        <f>SUMIF($BN$4:$BN$99,'Dummy Table'!$AF25,$BM$4:$BM$99)</f>
        <v>0</v>
      </c>
      <c r="AR25" s="5">
        <f>SUMIF($BN$4:$BN$99,'Dummy Table'!$AF25,$BL$4:$BL$99)</f>
        <v>0</v>
      </c>
      <c r="AS25" s="5">
        <f t="shared" si="22"/>
        <v>0</v>
      </c>
      <c r="AT25" s="5">
        <f t="shared" si="23"/>
        <v>0</v>
      </c>
      <c r="AU25" s="5">
        <f t="shared" si="24"/>
        <v>0</v>
      </c>
      <c r="AV25" s="5">
        <f t="shared" si="25"/>
        <v>0</v>
      </c>
      <c r="AW25" s="5">
        <f t="shared" si="26"/>
        <v>0</v>
      </c>
      <c r="AX25" s="5">
        <f t="shared" si="27"/>
        <v>0</v>
      </c>
      <c r="AY25" s="5">
        <f t="shared" si="28"/>
        <v>0</v>
      </c>
      <c r="AZ25" s="5">
        <f t="shared" si="29"/>
        <v>0</v>
      </c>
      <c r="BA25" s="5">
        <f t="shared" si="41"/>
        <v>0</v>
      </c>
      <c r="BB25" s="5">
        <f t="shared" si="30"/>
        <v>0</v>
      </c>
      <c r="BC25" s="5">
        <f t="shared" si="31"/>
        <v>0</v>
      </c>
      <c r="BD25" s="5">
        <f t="shared" si="32"/>
        <v>87</v>
      </c>
      <c r="BE25" s="75">
        <f>RANK(BA25,BA$24:BA$27)</f>
        <v>1</v>
      </c>
      <c r="BF25" s="75">
        <f>SUMPRODUCT((BA$24:BA$27=BA25)*(AZ$24:AZ$27&gt;AZ25))</f>
        <v>0</v>
      </c>
      <c r="BG25" s="75">
        <f>SUMPRODUCT((BA$24:BA$27=BA25)*(BE$24:BE$27=BE25)*(AZ$24:AZ$27=AZ25)*(AQ$24:AQ$27&gt;AQ25))</f>
        <v>0</v>
      </c>
      <c r="BH25" s="75">
        <f>SUMPRODUCT((BA$24:BA$27=BA25)*(BE$24:BE$27=BE25)*(AZ$24:AZ$27=AZ25)*(AQ$24:AQ$27=AQ25)*(BB$24:BB$27&gt;BB25))</f>
        <v>0</v>
      </c>
      <c r="BI25" s="75">
        <f>SUMPRODUCT((BA$24:BA$27=BA25)*(BE$24:BE$27=BE25)*(AZ$24:AZ$27=AZ25)*(AQ$24:AQ$27=AQ25)*(BB$24:BB$27=BB25)*(BC$24:BC$27&gt;BC25))</f>
        <v>0</v>
      </c>
      <c r="BJ25" s="75">
        <f>SUMPRODUCT((BA$24:BA$27=BA25)*(BE$24:BE$27=BE25)*(AZ$24:AZ$27=AZ25)*(AQ$24:AQ$27=AQ25)*(BB$24:BB$27=BB25)*(BC$24:BC$27=BC25)*(BD$24:BD$27&gt;BD25))</f>
        <v>1</v>
      </c>
      <c r="BK25" s="5" t="str">
        <f>IF(AND(COUNTIF($AF$4:$AF$35,Gruppenphase!G34)&gt;0,COUNTIF($AF$4:$AF$35,Gruppenphase!M34)&gt;0,Gruppenphase!I34&lt;&gt;"",Gruppenphase!K34&lt;&gt;""),Gruppenphase!G34,"")</f>
        <v/>
      </c>
      <c r="BL25" s="5" t="str">
        <f>IF($BK25&lt;&gt;"",Gruppenphase!I34,"")</f>
        <v/>
      </c>
      <c r="BM25" s="5" t="str">
        <f>IF($BK25&lt;&gt;"",Gruppenphase!K34,"")</f>
        <v/>
      </c>
      <c r="BN25" s="5" t="str">
        <f>IF($BK25&lt;&gt;"",Gruppenphase!M34,"")</f>
        <v/>
      </c>
      <c r="BO25" s="5">
        <f t="shared" si="2"/>
        <v>2</v>
      </c>
      <c r="BP25" s="5" t="str">
        <f t="shared" si="33"/>
        <v>Marseille</v>
      </c>
      <c r="BQ25" s="5">
        <f>VLOOKUP($AD25,$B$24:$W$27,22,FALSE)</f>
        <v>0</v>
      </c>
      <c r="BS25" s="5">
        <f>SUMPRODUCT(($BK$4:$BK$99='Dummy Table'!$AF25)*($BL$4:$BL$99&gt;$BM$4:$BM$99))</f>
        <v>0</v>
      </c>
      <c r="BT25" s="5">
        <f>SUMPRODUCT(($BK$4:$BK$99='Dummy Table'!$AF25)*($BL$4:$BL$99=$BM$4:$BM$99))</f>
        <v>0</v>
      </c>
      <c r="BU25" s="5">
        <f>SUMPRODUCT(($BK$4:$BK$99='Dummy Table'!$AF25)*($BL$4:$BL$99&lt;$BM$4:$BM$99))</f>
        <v>0</v>
      </c>
      <c r="BV25" s="5">
        <f>SUMIF($BK$4:$BK$99,'Dummy Table'!$AF25,$BL$4:$BL$99)</f>
        <v>0</v>
      </c>
      <c r="BW25" s="5">
        <f>SUMIF($BK$4:$BK$99,'Dummy Table'!$AF25,$BM$4:$BM$99)</f>
        <v>0</v>
      </c>
      <c r="BX25" s="5">
        <f t="shared" si="34"/>
        <v>0</v>
      </c>
      <c r="BY25" s="5" t="str">
        <f t="shared" si="35"/>
        <v/>
      </c>
      <c r="BZ25" s="5">
        <f>SUMPRODUCT(($BN$4:$BN$99='Dummy Table'!$AF25)*($BL$4:$BL$99&lt;$BM$4:$BM$99))</f>
        <v>0</v>
      </c>
      <c r="CA25" s="5">
        <f>SUMPRODUCT(($BN$4:$BN$99='Dummy Table'!$AF25)*($BL$4:$BL$99=$BM$4:$BM$99))</f>
        <v>0</v>
      </c>
      <c r="CB25" s="5">
        <f>SUMPRODUCT(($BN$4:$BN$99='Dummy Table'!$AF25)*($BL$4:$BL$99&gt;$BM$4:$BM$99))</f>
        <v>0</v>
      </c>
      <c r="CC25" s="5">
        <f>SUMIF($BN$4:$BN$99,'Dummy Table'!$AF25,$BM$4:$BM$99)</f>
        <v>0</v>
      </c>
      <c r="CD25" s="5">
        <f>SUMIF($BN$4:$BN$99,'Dummy Table'!$AF25,$BL$4:$BL$99)</f>
        <v>0</v>
      </c>
      <c r="CE25" s="5">
        <f t="shared" si="36"/>
        <v>0</v>
      </c>
      <c r="CF25" s="5" t="str">
        <f t="shared" si="37"/>
        <v/>
      </c>
      <c r="CG25" s="5">
        <f t="shared" si="38"/>
        <v>0</v>
      </c>
      <c r="CH25" s="5">
        <f t="shared" si="3"/>
        <v>0</v>
      </c>
      <c r="CI25" s="5">
        <f t="shared" si="4"/>
        <v>0</v>
      </c>
      <c r="CJ25" s="5">
        <f t="shared" si="5"/>
        <v>0</v>
      </c>
      <c r="CK25" s="5">
        <f t="shared" si="6"/>
        <v>0</v>
      </c>
      <c r="CL25" s="5">
        <f t="shared" si="7"/>
        <v>0</v>
      </c>
      <c r="CM25" s="5">
        <f t="shared" si="42"/>
        <v>-1</v>
      </c>
      <c r="CN25" s="5">
        <v>22</v>
      </c>
      <c r="CO25" s="5">
        <f>RANK(CM25,CM$24:CM$27)</f>
        <v>1</v>
      </c>
      <c r="CP25" s="5">
        <f>SUMPRODUCT((CM$24:CM$27=CM25)*(CO$24:CO$27=CO25)*(CC$24:CC$27&gt;CC25))</f>
        <v>0</v>
      </c>
      <c r="CQ25" s="5">
        <f>SUMPRODUCT((CM$24:CM$27=CM25)*(CL$24:CL$27&gt;CL25))</f>
        <v>0</v>
      </c>
      <c r="CR25" s="5">
        <f>SUMPRODUCT((CO$24:CO$27=CO25)*(CQ$24:CQ$27=CQ25)*(CJ$24:CJ$27&gt;CJ25))</f>
        <v>0</v>
      </c>
      <c r="CS25" s="5">
        <f>SUMPRODUCT((CO$24:CO$27=CO25)*(CQ$24:CQ$27=CQ25)*(CJ$24:CJ$27=CJ25)*(CN$24:CN$27&gt;CN25))</f>
        <v>2</v>
      </c>
      <c r="CT25" s="5" t="str">
        <f>IF(AND(COUNTIF($AF$4:$AF$35,Gruppenphase!$G34)&gt;0,COUNTIF($AF$4:$AF$35,Gruppenphase!$M34)&gt;0),Gruppenphase!$G34,"")</f>
        <v>Oţelul Galaţi</v>
      </c>
      <c r="CU25" s="5" t="str">
        <f>IF($BK25&lt;&gt;"",Gruppenphase!$I34,"")</f>
        <v/>
      </c>
      <c r="CV25" s="5" t="str">
        <f>IF($BK25&lt;&gt;"",Gruppenphase!$K34,"")</f>
        <v/>
      </c>
      <c r="CW25" s="5" t="str">
        <f>IF($BK25&lt;&gt;"",Gruppenphase!$M34,"")</f>
        <v/>
      </c>
      <c r="CX25" s="5" t="str">
        <f t="shared" si="39"/>
        <v/>
      </c>
      <c r="CY25" s="5" t="str">
        <f t="shared" si="40"/>
        <v/>
      </c>
      <c r="CZ25" s="5">
        <v>2</v>
      </c>
      <c r="DA25" s="5" t="str">
        <f t="shared" si="43"/>
        <v/>
      </c>
      <c r="DB25" s="5">
        <f>IF(AND(DA25="",DA24=""),CZ25,IF(AND(DA24&lt;&gt;"",DA25=""),1,""))</f>
        <v>2</v>
      </c>
      <c r="DC25" s="5" t="str">
        <f>VLOOKUP(DB25,$BO$24:$BP$27,2,FALSE)</f>
        <v>Marseille</v>
      </c>
      <c r="DD25" s="5">
        <v>2</v>
      </c>
      <c r="DE25" s="5" t="str">
        <f>IF(DA25="",DC25,DA25)</f>
        <v>Marseille</v>
      </c>
    </row>
    <row r="26" spans="1:109" x14ac:dyDescent="0.2">
      <c r="A26" s="5">
        <f t="shared" si="8"/>
        <v>3</v>
      </c>
      <c r="B26" s="5" t="str">
        <f>'Club Namen'!B25</f>
        <v>Olympiacos</v>
      </c>
      <c r="C26" s="5">
        <f>SUMPRODUCT((Gruppenphase!$I$13:$I$108&lt;&gt;"")*(Gruppenphase!$K$13:$K$108&lt;&gt;"")*(Gruppenphase!$G$13:$G$108='Dummy Table'!$B26)*(Gruppenphase!$I$13:$I$108&gt;Gruppenphase!$K$13:$K$108))</f>
        <v>0</v>
      </c>
      <c r="D26" s="5">
        <f>SUMPRODUCT((Gruppenphase!$I$13:$I$108&lt;&gt;"")*(Gruppenphase!$K$13:$K$108&lt;&gt;"")*(Gruppenphase!$G$13:$G$108='Dummy Table'!$B26)*(Gruppenphase!$I$13:$I$108=Gruppenphase!$K$13:$K$108))</f>
        <v>0</v>
      </c>
      <c r="E26" s="5">
        <f>SUMPRODUCT((Gruppenphase!$I$13:$I$108&lt;&gt;"")*(Gruppenphase!$K$13:$K$108&lt;&gt;"")*(Gruppenphase!$G$13:$G$108='Dummy Table'!$B26)*(Gruppenphase!$I$13:$I$108&lt;Gruppenphase!$K$13:$K$108))</f>
        <v>0</v>
      </c>
      <c r="F26" s="5">
        <f>SUMIF(Gruppenphase!$G$13:$G$108,'Dummy Table'!$B26,Gruppenphase!$I$13:$I$108)</f>
        <v>0</v>
      </c>
      <c r="G26" s="5">
        <f>SUMIF(Gruppenphase!$G$13:$G$108,'Dummy Table'!$B26,Gruppenphase!$K$13:$K$108)</f>
        <v>0</v>
      </c>
      <c r="H26" s="5">
        <f t="shared" si="9"/>
        <v>0</v>
      </c>
      <c r="I26" s="5">
        <f t="shared" si="10"/>
        <v>0</v>
      </c>
      <c r="J26" s="5">
        <f>SUMPRODUCT((Gruppenphase!$I$13:$I$108&lt;&gt;"")*(Gruppenphase!$K$13:$K$108&lt;&gt;"")*(Gruppenphase!$M$13:$M$108='Dummy Table'!$B26)*(Gruppenphase!$I$13:$I$108&lt;Gruppenphase!$K$13:$K$108))</f>
        <v>0</v>
      </c>
      <c r="K26" s="5">
        <f>SUMPRODUCT((Gruppenphase!$I$13:$I$108&lt;&gt;"")*(Gruppenphase!$K$13:$K$108&lt;&gt;"")*(Gruppenphase!$M$13:$M$108='Dummy Table'!$B26)*(Gruppenphase!$I$13:$I$108=Gruppenphase!$K$13:$K$108))</f>
        <v>0</v>
      </c>
      <c r="L26" s="5">
        <f>SUMPRODUCT((Gruppenphase!$I$13:$I$108&lt;&gt;"")*(Gruppenphase!$K$13:$K$108&lt;&gt;"")*(Gruppenphase!$M$13:$M$108='Dummy Table'!$B26)*(Gruppenphase!$I$13:$I$108&gt;Gruppenphase!$K$13:$K$108))</f>
        <v>0</v>
      </c>
      <c r="M26" s="5">
        <f>SUMIF(Gruppenphase!$M$13:$M$108,'Dummy Table'!$B26,Gruppenphase!$K$13:$K$108)</f>
        <v>0</v>
      </c>
      <c r="N26" s="5">
        <f>SUMIF(Gruppenphase!$M$13:$M$108,'Dummy Table'!$B26,Gruppenphase!$I$13:$I$108)</f>
        <v>0</v>
      </c>
      <c r="O26" s="5">
        <f t="shared" si="11"/>
        <v>0</v>
      </c>
      <c r="P26" s="5">
        <f t="shared" si="12"/>
        <v>0</v>
      </c>
      <c r="Q26" s="5">
        <f t="shared" si="13"/>
        <v>0</v>
      </c>
      <c r="R26" s="5">
        <f t="shared" si="14"/>
        <v>0</v>
      </c>
      <c r="S26" s="5">
        <f t="shared" si="15"/>
        <v>0</v>
      </c>
      <c r="T26" s="5">
        <f t="shared" si="16"/>
        <v>0</v>
      </c>
      <c r="U26" s="5">
        <f t="shared" si="17"/>
        <v>0</v>
      </c>
      <c r="V26" s="5">
        <f t="shared" si="18"/>
        <v>0</v>
      </c>
      <c r="W26" s="5">
        <f t="shared" si="19"/>
        <v>0</v>
      </c>
      <c r="X26" s="5">
        <v>46</v>
      </c>
      <c r="Y26" s="5">
        <f>RANK(W26,W$24:W$27)</f>
        <v>1</v>
      </c>
      <c r="Z26" s="5">
        <f>SUMPRODUCT((W$24:W$27=W26)*(V$24:V$27&gt;V26))</f>
        <v>0</v>
      </c>
      <c r="AA26" s="5">
        <f>SUMPRODUCT((Y$24:Y$27=Y26)*(Z$24:Z$27=Z26)*(T$24:T$27&gt;T26))</f>
        <v>0</v>
      </c>
      <c r="AB26" s="5">
        <f>SUMPRODUCT((Y$24:Y$27=Y26)*(Z$24:Z$27=Z26)*(T$24:T$27=T26)*(X$24:X$27&gt;X26))</f>
        <v>2</v>
      </c>
      <c r="AC26" s="5">
        <v>3</v>
      </c>
      <c r="AD26" s="5" t="str">
        <f>VLOOKUP(AC26,$A$24:$B$27,2,FALSE)</f>
        <v>Olympiacos</v>
      </c>
      <c r="AE26" s="5">
        <f>VLOOKUP($AD26,$B$24:$W$27,22,FALSE)</f>
        <v>0</v>
      </c>
      <c r="AF26" s="5" t="str">
        <f>IF(AE26=AE25,AD26,"")</f>
        <v>Olympiacos</v>
      </c>
      <c r="AG26" s="5">
        <f>SUMPRODUCT(($BK$4:$BK$99='Dummy Table'!$AF26)*($BL$4:$BL$99&gt;$BM$4:$BM$99))</f>
        <v>0</v>
      </c>
      <c r="AH26" s="5">
        <f>SUMPRODUCT(($BK$4:$BK$99='Dummy Table'!$AF26)*($BL$4:$BL$99=$BM$4:$BM$99))</f>
        <v>0</v>
      </c>
      <c r="AI26" s="5">
        <f>SUMPRODUCT(($BK$4:$BK$99='Dummy Table'!$AF26)*($BL$4:$BL$99&lt;$BM$4:$BM$99))</f>
        <v>0</v>
      </c>
      <c r="AJ26" s="5">
        <f>SUMIF($BK$4:$BK$99,'Dummy Table'!$AF26,$BL$4:$BL$99)</f>
        <v>0</v>
      </c>
      <c r="AK26" s="5">
        <f>SUMIF($BK$4:$BK$99,'Dummy Table'!$AF26,$BM$4:$BM$99)</f>
        <v>0</v>
      </c>
      <c r="AL26" s="5">
        <f t="shared" si="20"/>
        <v>0</v>
      </c>
      <c r="AM26" s="5">
        <f t="shared" si="21"/>
        <v>0</v>
      </c>
      <c r="AN26" s="5">
        <f>SUMPRODUCT(($BN$4:$BN$99='Dummy Table'!$AF26)*($BL$4:$BL$99&lt;$BM$4:$BM$99))</f>
        <v>0</v>
      </c>
      <c r="AO26" s="5">
        <f>SUMPRODUCT(($BN$4:$BN$99='Dummy Table'!$AF26)*($BL$4:$BL$99=$BM$4:$BM$99))</f>
        <v>0</v>
      </c>
      <c r="AP26" s="5">
        <f>SUMPRODUCT(($BN$4:$BN$99='Dummy Table'!$AF26)*($BL$4:$BL$99&gt;$BM$4:$BM$99))</f>
        <v>0</v>
      </c>
      <c r="AQ26" s="5">
        <f>SUMIF($BN$4:$BN$99,'Dummy Table'!$AF26,$BM$4:$BM$99)</f>
        <v>0</v>
      </c>
      <c r="AR26" s="5">
        <f>SUMIF($BN$4:$BN$99,'Dummy Table'!$AF26,$BL$4:$BL$99)</f>
        <v>0</v>
      </c>
      <c r="AS26" s="5">
        <f t="shared" si="22"/>
        <v>0</v>
      </c>
      <c r="AT26" s="5">
        <f t="shared" si="23"/>
        <v>0</v>
      </c>
      <c r="AU26" s="5">
        <f t="shared" si="24"/>
        <v>0</v>
      </c>
      <c r="AV26" s="5">
        <f t="shared" si="25"/>
        <v>0</v>
      </c>
      <c r="AW26" s="5">
        <f t="shared" si="26"/>
        <v>0</v>
      </c>
      <c r="AX26" s="5">
        <f t="shared" si="27"/>
        <v>0</v>
      </c>
      <c r="AY26" s="5">
        <f t="shared" si="28"/>
        <v>0</v>
      </c>
      <c r="AZ26" s="5">
        <f t="shared" si="29"/>
        <v>0</v>
      </c>
      <c r="BA26" s="5">
        <f t="shared" si="41"/>
        <v>0</v>
      </c>
      <c r="BB26" s="5">
        <f t="shared" si="30"/>
        <v>0</v>
      </c>
      <c r="BC26" s="5">
        <f t="shared" si="31"/>
        <v>0</v>
      </c>
      <c r="BD26" s="5">
        <f t="shared" si="32"/>
        <v>46</v>
      </c>
      <c r="BE26" s="75">
        <f>RANK(BA26,BA$24:BA$27)</f>
        <v>1</v>
      </c>
      <c r="BF26" s="75">
        <f>SUMPRODUCT((BA$24:BA$27=BA26)*(AZ$24:AZ$27&gt;AZ26))</f>
        <v>0</v>
      </c>
      <c r="BG26" s="75">
        <f>SUMPRODUCT((BA$24:BA$27=BA26)*(BE$24:BE$27=BE26)*(AZ$24:AZ$27=AZ26)*(AQ$24:AQ$27&gt;AQ26))</f>
        <v>0</v>
      </c>
      <c r="BH26" s="75">
        <f>SUMPRODUCT((BA$24:BA$27=BA26)*(BE$24:BE$27=BE26)*(AZ$24:AZ$27=AZ26)*(AQ$24:AQ$27=AQ26)*(BB$24:BB$27&gt;BB26))</f>
        <v>0</v>
      </c>
      <c r="BI26" s="75">
        <f>SUMPRODUCT((BA$24:BA$27=BA26)*(BE$24:BE$27=BE26)*(AZ$24:AZ$27=AZ26)*(AQ$24:AQ$27=AQ26)*(BB$24:BB$27=BB26)*(BC$24:BC$27&gt;BC26))</f>
        <v>0</v>
      </c>
      <c r="BJ26" s="75">
        <f>SUMPRODUCT((BA$24:BA$27=BA26)*(BE$24:BE$27=BE26)*(AZ$24:AZ$27=AZ26)*(AQ$24:AQ$27=AQ26)*(BB$24:BB$27=BB26)*(BC$24:BC$27=BC26)*(BD$24:BD$27&gt;BD26))</f>
        <v>2</v>
      </c>
      <c r="BK26" s="5" t="str">
        <f>IF(AND(COUNTIF($AF$4:$AF$35,Gruppenphase!G35)&gt;0,COUNTIF($AF$4:$AF$35,Gruppenphase!M35)&gt;0,Gruppenphase!I35&lt;&gt;"",Gruppenphase!K35&lt;&gt;""),Gruppenphase!G35,"")</f>
        <v/>
      </c>
      <c r="BL26" s="5" t="str">
        <f>IF($BK26&lt;&gt;"",Gruppenphase!I35,"")</f>
        <v/>
      </c>
      <c r="BM26" s="5" t="str">
        <f>IF($BK26&lt;&gt;"",Gruppenphase!K35,"")</f>
        <v/>
      </c>
      <c r="BN26" s="5" t="str">
        <f>IF($BK26&lt;&gt;"",Gruppenphase!M35,"")</f>
        <v/>
      </c>
      <c r="BO26" s="5">
        <f t="shared" si="2"/>
        <v>3</v>
      </c>
      <c r="BP26" s="5" t="str">
        <f t="shared" si="33"/>
        <v>Olympiacos</v>
      </c>
      <c r="BQ26" s="5">
        <f>VLOOKUP($AD26,$B$24:$W$27,22,FALSE)</f>
        <v>0</v>
      </c>
      <c r="BR26" s="5" t="str">
        <f>IF(AND(BQ26&lt;&gt;BQ25,BQ26=BQ27),AD26,"")</f>
        <v/>
      </c>
      <c r="BS26" s="5">
        <f>SUMPRODUCT(($BK$4:$BK$99='Dummy Table'!$AF26)*($BL$4:$BL$99&gt;$BM$4:$BM$99))</f>
        <v>0</v>
      </c>
      <c r="BT26" s="5">
        <f>SUMPRODUCT(($BK$4:$BK$99='Dummy Table'!$AF26)*($BL$4:$BL$99=$BM$4:$BM$99))</f>
        <v>0</v>
      </c>
      <c r="BU26" s="5">
        <f>SUMPRODUCT(($BK$4:$BK$99='Dummy Table'!$AF26)*($BL$4:$BL$99&lt;$BM$4:$BM$99))</f>
        <v>0</v>
      </c>
      <c r="BV26" s="5">
        <f>SUMIF($BK$4:$BK$99,'Dummy Table'!$AF26,$BL$4:$BL$99)</f>
        <v>0</v>
      </c>
      <c r="BW26" s="5">
        <f>SUMIF($BK$4:$BK$99,'Dummy Table'!$AF26,$BM$4:$BM$99)</f>
        <v>0</v>
      </c>
      <c r="BX26" s="5">
        <f t="shared" si="34"/>
        <v>0</v>
      </c>
      <c r="BY26" s="5" t="str">
        <f t="shared" si="35"/>
        <v/>
      </c>
      <c r="BZ26" s="5">
        <f>SUMPRODUCT(($BN$4:$BN$99='Dummy Table'!$AF26)*($BL$4:$BL$99&lt;$BM$4:$BM$99))</f>
        <v>0</v>
      </c>
      <c r="CA26" s="5">
        <f>SUMPRODUCT(($BN$4:$BN$99='Dummy Table'!$AF26)*($BL$4:$BL$99=$BM$4:$BM$99))</f>
        <v>0</v>
      </c>
      <c r="CB26" s="5">
        <f>SUMPRODUCT(($BN$4:$BN$99='Dummy Table'!$AF26)*($BL$4:$BL$99&gt;$BM$4:$BM$99))</f>
        <v>0</v>
      </c>
      <c r="CC26" s="5">
        <f>SUMIF($BN$4:$BN$99,'Dummy Table'!$AF26,$BM$4:$BM$99)</f>
        <v>0</v>
      </c>
      <c r="CD26" s="5">
        <f>SUMIF($BN$4:$BN$99,'Dummy Table'!$AF26,$BL$4:$BL$99)</f>
        <v>0</v>
      </c>
      <c r="CE26" s="5">
        <f t="shared" si="36"/>
        <v>0</v>
      </c>
      <c r="CF26" s="5" t="str">
        <f t="shared" si="37"/>
        <v/>
      </c>
      <c r="CG26" s="5">
        <f t="shared" si="38"/>
        <v>0</v>
      </c>
      <c r="CH26" s="5">
        <f t="shared" si="3"/>
        <v>0</v>
      </c>
      <c r="CI26" s="5">
        <f t="shared" si="4"/>
        <v>0</v>
      </c>
      <c r="CJ26" s="5">
        <f t="shared" si="5"/>
        <v>0</v>
      </c>
      <c r="CK26" s="5">
        <f t="shared" si="6"/>
        <v>0</v>
      </c>
      <c r="CL26" s="5">
        <f t="shared" si="7"/>
        <v>0</v>
      </c>
      <c r="CM26" s="5">
        <f t="shared" si="42"/>
        <v>-1</v>
      </c>
      <c r="CN26" s="5">
        <v>23</v>
      </c>
      <c r="CO26" s="5">
        <f>RANK(CM26,CM$24:CM$27)</f>
        <v>1</v>
      </c>
      <c r="CP26" s="5">
        <f>SUMPRODUCT((CM$24:CM$27=CM26)*(CO$24:CO$27=CO26)*(CC$24:CC$27&gt;CC26))</f>
        <v>0</v>
      </c>
      <c r="CQ26" s="5">
        <f>SUMPRODUCT((CM$24:CM$27=CM26)*(CL$24:CL$27&gt;CL26))</f>
        <v>0</v>
      </c>
      <c r="CR26" s="5">
        <f>SUMPRODUCT((CO$24:CO$27=CO26)*(CQ$24:CQ$27=CQ26)*(CJ$24:CJ$27&gt;CJ26))</f>
        <v>0</v>
      </c>
      <c r="CS26" s="5">
        <f>SUMPRODUCT((CO$24:CO$27=CO26)*(CQ$24:CQ$27=CQ26)*(CJ$24:CJ$27=CJ26)*(CN$24:CN$27&gt;CN26))</f>
        <v>1</v>
      </c>
      <c r="CT26" s="5" t="str">
        <f>IF(AND(COUNTIF($AF$4:$AF$35,Gruppenphase!$G35)&gt;0,COUNTIF($AF$4:$AF$35,Gruppenphase!$M35)&gt;0),Gruppenphase!$G35,"")</f>
        <v>Lyon</v>
      </c>
      <c r="CU26" s="5" t="str">
        <f>IF($BK26&lt;&gt;"",Gruppenphase!$I35,"")</f>
        <v/>
      </c>
      <c r="CV26" s="5" t="str">
        <f>IF($BK26&lt;&gt;"",Gruppenphase!$K35,"")</f>
        <v/>
      </c>
      <c r="CW26" s="5" t="str">
        <f>IF($BK26&lt;&gt;"",Gruppenphase!$M35,"")</f>
        <v/>
      </c>
      <c r="CX26" s="5" t="str">
        <f t="shared" si="39"/>
        <v/>
      </c>
      <c r="CY26" s="5" t="str">
        <f t="shared" si="40"/>
        <v/>
      </c>
      <c r="CZ26" s="5">
        <v>3</v>
      </c>
      <c r="DA26" s="5" t="str">
        <f t="shared" si="43"/>
        <v/>
      </c>
      <c r="DB26" s="5">
        <f>IF(AND(DA26="",DA25="",DA24=""),CZ26,IF(AND(DA24&lt;&gt;"",DA25="",DA26=""),2,IF(AND(DA24&lt;&gt;"",DA25&lt;&gt;"",DA26=""),1,"")))</f>
        <v>3</v>
      </c>
      <c r="DC26" s="5" t="str">
        <f>VLOOKUP(DB26,$BO$24:$BP$27,2,FALSE)</f>
        <v>Olympiacos</v>
      </c>
      <c r="DD26" s="5">
        <v>3</v>
      </c>
      <c r="DE26" s="5" t="str">
        <f>IF(CY26&lt;&gt;"",IF(CX26&lt;CX27,CY26,CY27),IF(DC26&lt;&gt;"",DC26,DA26))</f>
        <v>Olympiacos</v>
      </c>
    </row>
    <row r="27" spans="1:109" x14ac:dyDescent="0.2">
      <c r="A27" s="5">
        <f t="shared" si="8"/>
        <v>4</v>
      </c>
      <c r="B27" s="5" t="str">
        <f>'Club Namen'!B26</f>
        <v>Borussia Dortmund</v>
      </c>
      <c r="C27" s="5">
        <f>SUMPRODUCT((Gruppenphase!$I$13:$I$108&lt;&gt;"")*(Gruppenphase!$K$13:$K$108&lt;&gt;"")*(Gruppenphase!$G$13:$G$108='Dummy Table'!$B27)*(Gruppenphase!$I$13:$I$108&gt;Gruppenphase!$K$13:$K$108))</f>
        <v>0</v>
      </c>
      <c r="D27" s="5">
        <f>SUMPRODUCT((Gruppenphase!$I$13:$I$108&lt;&gt;"")*(Gruppenphase!$K$13:$K$108&lt;&gt;"")*(Gruppenphase!$G$13:$G$108='Dummy Table'!$B27)*(Gruppenphase!$I$13:$I$108=Gruppenphase!$K$13:$K$108))</f>
        <v>0</v>
      </c>
      <c r="E27" s="5">
        <f>SUMPRODUCT((Gruppenphase!$I$13:$I$108&lt;&gt;"")*(Gruppenphase!$K$13:$K$108&lt;&gt;"")*(Gruppenphase!$G$13:$G$108='Dummy Table'!$B27)*(Gruppenphase!$I$13:$I$108&lt;Gruppenphase!$K$13:$K$108))</f>
        <v>0</v>
      </c>
      <c r="F27" s="5">
        <f>SUMIF(Gruppenphase!$G$13:$G$108,'Dummy Table'!$B27,Gruppenphase!$I$13:$I$108)</f>
        <v>0</v>
      </c>
      <c r="G27" s="5">
        <f>SUMIF(Gruppenphase!$G$13:$G$108,'Dummy Table'!$B27,Gruppenphase!$K$13:$K$108)</f>
        <v>0</v>
      </c>
      <c r="H27" s="5">
        <f t="shared" si="9"/>
        <v>0</v>
      </c>
      <c r="I27" s="5">
        <f t="shared" si="10"/>
        <v>0</v>
      </c>
      <c r="J27" s="5">
        <f>SUMPRODUCT((Gruppenphase!$I$13:$I$108&lt;&gt;"")*(Gruppenphase!$K$13:$K$108&lt;&gt;"")*(Gruppenphase!$M$13:$M$108='Dummy Table'!$B27)*(Gruppenphase!$I$13:$I$108&lt;Gruppenphase!$K$13:$K$108))</f>
        <v>0</v>
      </c>
      <c r="K27" s="5">
        <f>SUMPRODUCT((Gruppenphase!$I$13:$I$108&lt;&gt;"")*(Gruppenphase!$K$13:$K$108&lt;&gt;"")*(Gruppenphase!$M$13:$M$108='Dummy Table'!$B27)*(Gruppenphase!$I$13:$I$108=Gruppenphase!$K$13:$K$108))</f>
        <v>0</v>
      </c>
      <c r="L27" s="5">
        <f>SUMPRODUCT((Gruppenphase!$I$13:$I$108&lt;&gt;"")*(Gruppenphase!$K$13:$K$108&lt;&gt;"")*(Gruppenphase!$M$13:$M$108='Dummy Table'!$B27)*(Gruppenphase!$I$13:$I$108&gt;Gruppenphase!$K$13:$K$108))</f>
        <v>0</v>
      </c>
      <c r="M27" s="5">
        <f>SUMIF(Gruppenphase!$M$13:$M$108,'Dummy Table'!$B27,Gruppenphase!$K$13:$K$108)</f>
        <v>0</v>
      </c>
      <c r="N27" s="5">
        <f>SUMIF(Gruppenphase!$M$13:$M$108,'Dummy Table'!$B27,Gruppenphase!$I$13:$I$108)</f>
        <v>0</v>
      </c>
      <c r="O27" s="5">
        <f t="shared" si="11"/>
        <v>0</v>
      </c>
      <c r="P27" s="5">
        <f t="shared" si="12"/>
        <v>0</v>
      </c>
      <c r="Q27" s="5">
        <f t="shared" si="13"/>
        <v>0</v>
      </c>
      <c r="R27" s="5">
        <f t="shared" si="14"/>
        <v>0</v>
      </c>
      <c r="S27" s="5">
        <f t="shared" si="15"/>
        <v>0</v>
      </c>
      <c r="T27" s="5">
        <f t="shared" si="16"/>
        <v>0</v>
      </c>
      <c r="U27" s="5">
        <f t="shared" si="17"/>
        <v>0</v>
      </c>
      <c r="V27" s="5">
        <f t="shared" si="18"/>
        <v>0</v>
      </c>
      <c r="W27" s="5">
        <f t="shared" si="19"/>
        <v>0</v>
      </c>
      <c r="X27" s="5">
        <v>9</v>
      </c>
      <c r="Y27" s="5">
        <f>RANK(W27,W$24:W$27)</f>
        <v>1</v>
      </c>
      <c r="Z27" s="5">
        <f>SUMPRODUCT((W$24:W$27=W27)*(V$24:V$27&gt;V27))</f>
        <v>0</v>
      </c>
      <c r="AA27" s="5">
        <f>SUMPRODUCT((Y$24:Y$27=Y27)*(Z$24:Z$27=Z27)*(T$24:T$27&gt;T27))</f>
        <v>0</v>
      </c>
      <c r="AB27" s="5">
        <f>SUMPRODUCT((Y$24:Y$27=Y27)*(Z$24:Z$27=Z27)*(T$24:T$27=T27)*(X$24:X$27&gt;X27))</f>
        <v>3</v>
      </c>
      <c r="AC27" s="5">
        <v>4</v>
      </c>
      <c r="AD27" s="5" t="str">
        <f>VLOOKUP(AC27,$A$24:$B$27,2,FALSE)</f>
        <v>Borussia Dortmund</v>
      </c>
      <c r="AE27" s="5">
        <f>VLOOKUP($AD27,$B$24:$W$27,22,FALSE)</f>
        <v>0</v>
      </c>
      <c r="AF27" s="5" t="str">
        <f>IF(AND(AE27=AE26,AE26=AE25),AD27,"")</f>
        <v>Borussia Dortmund</v>
      </c>
      <c r="AG27" s="5">
        <f>SUMPRODUCT(($BK$4:$BK$99='Dummy Table'!$AF27)*($BL$4:$BL$99&gt;$BM$4:$BM$99))</f>
        <v>0</v>
      </c>
      <c r="AH27" s="5">
        <f>SUMPRODUCT(($BK$4:$BK$99='Dummy Table'!$AF27)*($BL$4:$BL$99=$BM$4:$BM$99))</f>
        <v>0</v>
      </c>
      <c r="AI27" s="5">
        <f>SUMPRODUCT(($BK$4:$BK$99='Dummy Table'!$AF27)*($BL$4:$BL$99&lt;$BM$4:$BM$99))</f>
        <v>0</v>
      </c>
      <c r="AJ27" s="5">
        <f>SUMIF($BK$4:$BK$99,'Dummy Table'!$AF27,$BL$4:$BL$99)</f>
        <v>0</v>
      </c>
      <c r="AK27" s="5">
        <f>SUMIF($BK$4:$BK$99,'Dummy Table'!$AF27,$BM$4:$BM$99)</f>
        <v>0</v>
      </c>
      <c r="AL27" s="5">
        <f t="shared" si="20"/>
        <v>0</v>
      </c>
      <c r="AM27" s="5">
        <f t="shared" si="21"/>
        <v>0</v>
      </c>
      <c r="AN27" s="5">
        <f>SUMPRODUCT(($BN$4:$BN$99='Dummy Table'!$AF27)*($BL$4:$BL$99&lt;$BM$4:$BM$99))</f>
        <v>0</v>
      </c>
      <c r="AO27" s="5">
        <f>SUMPRODUCT(($BN$4:$BN$99='Dummy Table'!$AF27)*($BL$4:$BL$99=$BM$4:$BM$99))</f>
        <v>0</v>
      </c>
      <c r="AP27" s="5">
        <f>SUMPRODUCT(($BN$4:$BN$99='Dummy Table'!$AF27)*($BL$4:$BL$99&gt;$BM$4:$BM$99))</f>
        <v>0</v>
      </c>
      <c r="AQ27" s="5">
        <f>SUMIF($BN$4:$BN$99,'Dummy Table'!$AF27,$BM$4:$BM$99)</f>
        <v>0</v>
      </c>
      <c r="AR27" s="5">
        <f>SUMIF($BN$4:$BN$99,'Dummy Table'!$AF27,$BL$4:$BL$99)</f>
        <v>0</v>
      </c>
      <c r="AS27" s="5">
        <f t="shared" si="22"/>
        <v>0</v>
      </c>
      <c r="AT27" s="5">
        <f t="shared" si="23"/>
        <v>0</v>
      </c>
      <c r="AU27" s="5">
        <f t="shared" si="24"/>
        <v>0</v>
      </c>
      <c r="AV27" s="5">
        <f t="shared" si="25"/>
        <v>0</v>
      </c>
      <c r="AW27" s="5">
        <f t="shared" si="26"/>
        <v>0</v>
      </c>
      <c r="AX27" s="5">
        <f t="shared" si="27"/>
        <v>0</v>
      </c>
      <c r="AY27" s="5">
        <f t="shared" si="28"/>
        <v>0</v>
      </c>
      <c r="AZ27" s="5">
        <f t="shared" si="29"/>
        <v>0</v>
      </c>
      <c r="BA27" s="5">
        <f t="shared" si="41"/>
        <v>0</v>
      </c>
      <c r="BB27" s="5">
        <f t="shared" si="30"/>
        <v>0</v>
      </c>
      <c r="BC27" s="5">
        <f t="shared" si="31"/>
        <v>0</v>
      </c>
      <c r="BD27" s="5">
        <f t="shared" si="32"/>
        <v>9</v>
      </c>
      <c r="BE27" s="75">
        <f>RANK(BA27,BA$24:BA$27)</f>
        <v>1</v>
      </c>
      <c r="BF27" s="75">
        <f>SUMPRODUCT((BA$24:BA$27=BA27)*(AZ$24:AZ$27&gt;AZ27))</f>
        <v>0</v>
      </c>
      <c r="BG27" s="75">
        <f>SUMPRODUCT((BA$24:BA$27=BA27)*(BE$24:BE$27=BE27)*(AZ$24:AZ$27=AZ27)*(AQ$24:AQ$27&gt;AQ27))</f>
        <v>0</v>
      </c>
      <c r="BH27" s="75">
        <f>SUMPRODUCT((BA$24:BA$27=BA27)*(BE$24:BE$27=BE27)*(AZ$24:AZ$27=AZ27)*(AQ$24:AQ$27=AQ27)*(BB$24:BB$27&gt;BB27))</f>
        <v>0</v>
      </c>
      <c r="BI27" s="75">
        <f>SUMPRODUCT((BA$24:BA$27=BA27)*(BE$24:BE$27=BE27)*(AZ$24:AZ$27=AZ27)*(AQ$24:AQ$27=AQ27)*(BB$24:BB$27=BB27)*(BC$24:BC$27&gt;BC27))</f>
        <v>0</v>
      </c>
      <c r="BJ27" s="75">
        <f>SUMPRODUCT((BA$24:BA$27=BA27)*(BE$24:BE$27=BE27)*(AZ$24:AZ$27=AZ27)*(AQ$24:AQ$27=AQ27)*(BB$24:BB$27=BB27)*(BC$24:BC$27=BC27)*(BD$24:BD$27&gt;BD27))</f>
        <v>3</v>
      </c>
      <c r="BK27" s="5" t="str">
        <f>IF(AND(COUNTIF($AF$4:$AF$35,Gruppenphase!G36)&gt;0,COUNTIF($AF$4:$AF$35,Gruppenphase!M36)&gt;0,Gruppenphase!I36&lt;&gt;"",Gruppenphase!K36&lt;&gt;""),Gruppenphase!G36,"")</f>
        <v/>
      </c>
      <c r="BL27" s="5" t="str">
        <f>IF($BK27&lt;&gt;"",Gruppenphase!I36,"")</f>
        <v/>
      </c>
      <c r="BM27" s="5" t="str">
        <f>IF($BK27&lt;&gt;"",Gruppenphase!K36,"")</f>
        <v/>
      </c>
      <c r="BN27" s="5" t="str">
        <f>IF($BK27&lt;&gt;"",Gruppenphase!M36,"")</f>
        <v/>
      </c>
      <c r="BO27" s="5">
        <f t="shared" si="2"/>
        <v>4</v>
      </c>
      <c r="BP27" s="5" t="str">
        <f t="shared" si="33"/>
        <v>Borussia Dortmund</v>
      </c>
      <c r="BQ27" s="5">
        <f>VLOOKUP($AD27,$B$24:$W$27,22,FALSE)</f>
        <v>0</v>
      </c>
      <c r="BR27" s="5" t="str">
        <f>IF(BR26&lt;&gt;"",AD27,"")</f>
        <v/>
      </c>
      <c r="BS27" s="5">
        <f>SUMPRODUCT(($BK$4:$BK$99='Dummy Table'!$AF27)*($BL$4:$BL$99&gt;$BM$4:$BM$99))</f>
        <v>0</v>
      </c>
      <c r="BT27" s="5">
        <f>SUMPRODUCT(($BK$4:$BK$99='Dummy Table'!$AF27)*($BL$4:$BL$99=$BM$4:$BM$99))</f>
        <v>0</v>
      </c>
      <c r="BU27" s="5">
        <f>SUMPRODUCT(($BK$4:$BK$99='Dummy Table'!$AF27)*($BL$4:$BL$99&lt;$BM$4:$BM$99))</f>
        <v>0</v>
      </c>
      <c r="BV27" s="5">
        <f>SUMIF($BK$4:$BK$99,'Dummy Table'!$AF27,$BL$4:$BL$99)</f>
        <v>0</v>
      </c>
      <c r="BW27" s="5">
        <f>SUMIF($BK$4:$BK$99,'Dummy Table'!$AF27,$BM$4:$BM$99)</f>
        <v>0</v>
      </c>
      <c r="BX27" s="5">
        <f t="shared" si="34"/>
        <v>0</v>
      </c>
      <c r="BY27" s="5" t="str">
        <f t="shared" si="35"/>
        <v/>
      </c>
      <c r="BZ27" s="5">
        <f>SUMPRODUCT(($BN$4:$BN$99='Dummy Table'!$AF27)*($BL$4:$BL$99&lt;$BM$4:$BM$99))</f>
        <v>0</v>
      </c>
      <c r="CA27" s="5">
        <f>SUMPRODUCT(($BN$4:$BN$99='Dummy Table'!$AF27)*($BL$4:$BL$99=$BM$4:$BM$99))</f>
        <v>0</v>
      </c>
      <c r="CB27" s="5">
        <f>SUMPRODUCT(($BN$4:$BN$99='Dummy Table'!$AF27)*($BL$4:$BL$99&gt;$BM$4:$BM$99))</f>
        <v>0</v>
      </c>
      <c r="CC27" s="5">
        <f>SUMIF($BN$4:$BN$99,'Dummy Table'!$AF27,$BM$4:$BM$99)</f>
        <v>0</v>
      </c>
      <c r="CD27" s="5">
        <f>SUMIF($BN$4:$BN$99,'Dummy Table'!$AF27,$BL$4:$BL$99)</f>
        <v>0</v>
      </c>
      <c r="CE27" s="5">
        <f t="shared" si="36"/>
        <v>0</v>
      </c>
      <c r="CF27" s="5" t="str">
        <f t="shared" si="37"/>
        <v/>
      </c>
      <c r="CG27" s="5">
        <f t="shared" si="38"/>
        <v>0</v>
      </c>
      <c r="CH27" s="5">
        <f t="shared" si="3"/>
        <v>0</v>
      </c>
      <c r="CI27" s="5">
        <f t="shared" si="4"/>
        <v>0</v>
      </c>
      <c r="CJ27" s="5">
        <f t="shared" si="5"/>
        <v>0</v>
      </c>
      <c r="CK27" s="5">
        <f t="shared" si="6"/>
        <v>0</v>
      </c>
      <c r="CL27" s="5">
        <f t="shared" si="7"/>
        <v>0</v>
      </c>
      <c r="CM27" s="5">
        <f t="shared" si="42"/>
        <v>-1</v>
      </c>
      <c r="CN27" s="5">
        <v>24</v>
      </c>
      <c r="CO27" s="5">
        <f>RANK(CM27,CM$24:CM$27)</f>
        <v>1</v>
      </c>
      <c r="CP27" s="5">
        <f>SUMPRODUCT((CM$24:CM$27=CM27)*(CO$24:CO$27=CO27)*(CC$24:CC$27&gt;CC27))</f>
        <v>0</v>
      </c>
      <c r="CQ27" s="5">
        <f>SUMPRODUCT((CM$24:CM$27=CM27)*(CL$24:CL$27&gt;CL27))</f>
        <v>0</v>
      </c>
      <c r="CR27" s="5">
        <f>SUMPRODUCT((CO$24:CO$27=CO27)*(CQ$24:CQ$27=CQ27)*(CJ$24:CJ$27&gt;CJ27))</f>
        <v>0</v>
      </c>
      <c r="CS27" s="5">
        <f>SUMPRODUCT((CO$24:CO$27=CO27)*(CQ$24:CQ$27=CQ27)*(CJ$24:CJ$27=CJ27)*(CN$24:CN$27&gt;CN27))</f>
        <v>0</v>
      </c>
      <c r="CT27" s="5" t="str">
        <f>IF(AND(COUNTIF($AF$4:$AF$35,Gruppenphase!$G36)&gt;0,COUNTIF($AF$4:$AF$35,Gruppenphase!$M36)&gt;0),Gruppenphase!$G36,"")</f>
        <v>Real Madrid</v>
      </c>
      <c r="CU27" s="5" t="str">
        <f>IF($BK27&lt;&gt;"",Gruppenphase!$I36,"")</f>
        <v/>
      </c>
      <c r="CV27" s="5" t="str">
        <f>IF($BK27&lt;&gt;"",Gruppenphase!$K36,"")</f>
        <v/>
      </c>
      <c r="CW27" s="5" t="str">
        <f>IF($BK27&lt;&gt;"",Gruppenphase!$M36,"")</f>
        <v/>
      </c>
      <c r="CX27" s="5" t="str">
        <f t="shared" si="39"/>
        <v/>
      </c>
      <c r="CY27" s="5" t="str">
        <f t="shared" si="40"/>
        <v/>
      </c>
      <c r="CZ27" s="5">
        <v>4</v>
      </c>
      <c r="DA27" s="5" t="str">
        <f t="shared" si="43"/>
        <v/>
      </c>
      <c r="DB27" s="5">
        <f>IF(AND(DA27="",DA26="",DA25="",DA24=""),4,IF(AND(DA27="",DA26="",DA25=""),3,IF(AND(DA25&lt;&gt;"",DA26="",DA27=""),2,IF(AND(DA25&lt;&gt;"",DA26&lt;&gt;"",DA27=""),1,""))))</f>
        <v>4</v>
      </c>
      <c r="DC27" s="5" t="str">
        <f>VLOOKUP(DB27,$BO$24:$BP$27,2,FALSE)</f>
        <v>Borussia Dortmund</v>
      </c>
      <c r="DD27" s="5">
        <v>4</v>
      </c>
      <c r="DE27" s="5" t="str">
        <f>IF(CY27&lt;&gt;"",IF(CX26&lt;CX27,CY27,CY26),IF(DC27&lt;&gt;"",DC27,DA27))</f>
        <v>Borussia Dortmund</v>
      </c>
    </row>
    <row r="28" spans="1:109" x14ac:dyDescent="0.2">
      <c r="A28" s="5">
        <f t="shared" si="8"/>
        <v>1</v>
      </c>
      <c r="B28" s="5" t="str">
        <f>'Club Namen'!B27</f>
        <v>Porto</v>
      </c>
      <c r="C28" s="5">
        <f>SUMPRODUCT((Gruppenphase!$I$13:$I$108&lt;&gt;"")*(Gruppenphase!$K$13:$K$108&lt;&gt;"")*(Gruppenphase!$G$13:$G$108='Dummy Table'!$B28)*(Gruppenphase!$I$13:$I$108&gt;Gruppenphase!$K$13:$K$108))</f>
        <v>0</v>
      </c>
      <c r="D28" s="5">
        <f>SUMPRODUCT((Gruppenphase!$I$13:$I$108&lt;&gt;"")*(Gruppenphase!$K$13:$K$108&lt;&gt;"")*(Gruppenphase!$G$13:$G$108='Dummy Table'!$B28)*(Gruppenphase!$I$13:$I$108=Gruppenphase!$K$13:$K$108))</f>
        <v>0</v>
      </c>
      <c r="E28" s="5">
        <f>SUMPRODUCT((Gruppenphase!$I$13:$I$108&lt;&gt;"")*(Gruppenphase!$K$13:$K$108&lt;&gt;"")*(Gruppenphase!$G$13:$G$108='Dummy Table'!$B28)*(Gruppenphase!$I$13:$I$108&lt;Gruppenphase!$K$13:$K$108))</f>
        <v>0</v>
      </c>
      <c r="F28" s="5">
        <f>SUMIF(Gruppenphase!$G$13:$G$108,'Dummy Table'!$B28,Gruppenphase!$I$13:$I$108)</f>
        <v>0</v>
      </c>
      <c r="G28" s="5">
        <f>SUMIF(Gruppenphase!$G$13:$G$108,'Dummy Table'!$B28,Gruppenphase!$K$13:$K$108)</f>
        <v>0</v>
      </c>
      <c r="H28" s="5">
        <f t="shared" si="9"/>
        <v>0</v>
      </c>
      <c r="I28" s="5">
        <f t="shared" si="10"/>
        <v>0</v>
      </c>
      <c r="J28" s="5">
        <f>SUMPRODUCT((Gruppenphase!$I$13:$I$108&lt;&gt;"")*(Gruppenphase!$K$13:$K$108&lt;&gt;"")*(Gruppenphase!$M$13:$M$108='Dummy Table'!$B28)*(Gruppenphase!$I$13:$I$108&lt;Gruppenphase!$K$13:$K$108))</f>
        <v>0</v>
      </c>
      <c r="K28" s="5">
        <f>SUMPRODUCT((Gruppenphase!$I$13:$I$108&lt;&gt;"")*(Gruppenphase!$K$13:$K$108&lt;&gt;"")*(Gruppenphase!$M$13:$M$108='Dummy Table'!$B28)*(Gruppenphase!$I$13:$I$108=Gruppenphase!$K$13:$K$108))</f>
        <v>0</v>
      </c>
      <c r="L28" s="5">
        <f>SUMPRODUCT((Gruppenphase!$I$13:$I$108&lt;&gt;"")*(Gruppenphase!$K$13:$K$108&lt;&gt;"")*(Gruppenphase!$M$13:$M$108='Dummy Table'!$B28)*(Gruppenphase!$I$13:$I$108&gt;Gruppenphase!$K$13:$K$108))</f>
        <v>0</v>
      </c>
      <c r="M28" s="5">
        <f>SUMIF(Gruppenphase!$M$13:$M$108,'Dummy Table'!$B28,Gruppenphase!$K$13:$K$108)</f>
        <v>0</v>
      </c>
      <c r="N28" s="5">
        <f>SUMIF(Gruppenphase!$M$13:$M$108,'Dummy Table'!$B28,Gruppenphase!$I$13:$I$108)</f>
        <v>0</v>
      </c>
      <c r="O28" s="5">
        <f t="shared" si="11"/>
        <v>0</v>
      </c>
      <c r="P28" s="5">
        <f t="shared" si="12"/>
        <v>0</v>
      </c>
      <c r="Q28" s="5">
        <f t="shared" si="13"/>
        <v>0</v>
      </c>
      <c r="R28" s="5">
        <f t="shared" si="14"/>
        <v>0</v>
      </c>
      <c r="S28" s="5">
        <f t="shared" si="15"/>
        <v>0</v>
      </c>
      <c r="T28" s="5">
        <f t="shared" si="16"/>
        <v>0</v>
      </c>
      <c r="U28" s="5">
        <f t="shared" si="17"/>
        <v>0</v>
      </c>
      <c r="V28" s="5">
        <f t="shared" si="18"/>
        <v>0</v>
      </c>
      <c r="W28" s="5">
        <f t="shared" si="19"/>
        <v>0</v>
      </c>
      <c r="X28" s="5">
        <v>100</v>
      </c>
      <c r="Y28" s="5">
        <f>RANK(W28,W$28:W$31)</f>
        <v>1</v>
      </c>
      <c r="Z28" s="5">
        <f>SUMPRODUCT((W$28:W$31=W28)*(V$28:V$31&gt;V28))</f>
        <v>0</v>
      </c>
      <c r="AA28" s="5">
        <f>SUMPRODUCT((Y$28:Y$31=Y28)*(Z$28:Z$31=Z28)*(T$28:T$31&gt;T28))</f>
        <v>0</v>
      </c>
      <c r="AB28" s="5">
        <f>SUMPRODUCT((Y$28:Y$31=Y28)*(Z$28:Z$31=Z28)*(T$28:T$31=T28)*(X$28:X$31&gt;X28))</f>
        <v>0</v>
      </c>
      <c r="AC28" s="5">
        <v>1</v>
      </c>
      <c r="AD28" s="5" t="str">
        <f>VLOOKUP(AC28,$A$28:$B$31,2,FALSE)</f>
        <v>Porto</v>
      </c>
      <c r="AE28" s="5">
        <f>VLOOKUP($AD28,$B$28:$W$31,22,FALSE)</f>
        <v>0</v>
      </c>
      <c r="AF28" s="5" t="str">
        <f>IF(AE28=AE29,AD28,"")</f>
        <v>Porto</v>
      </c>
      <c r="AG28" s="5">
        <f>SUMPRODUCT(($BK$4:$BK$99='Dummy Table'!$AF28)*($BL$4:$BL$99&gt;$BM$4:$BM$99))</f>
        <v>0</v>
      </c>
      <c r="AH28" s="5">
        <f>SUMPRODUCT(($BK$4:$BK$99='Dummy Table'!$AF28)*($BL$4:$BL$99=$BM$4:$BM$99))</f>
        <v>0</v>
      </c>
      <c r="AI28" s="5">
        <f>SUMPRODUCT(($BK$4:$BK$99='Dummy Table'!$AF28)*($BL$4:$BL$99&lt;$BM$4:$BM$99))</f>
        <v>0</v>
      </c>
      <c r="AJ28" s="5">
        <f>SUMIF($BK$4:$BK$99,'Dummy Table'!$AF28,$BL$4:$BL$99)</f>
        <v>0</v>
      </c>
      <c r="AK28" s="5">
        <f>SUMIF($BK$4:$BK$99,'Dummy Table'!$AF28,$BM$4:$BM$99)</f>
        <v>0</v>
      </c>
      <c r="AL28" s="5">
        <f t="shared" si="20"/>
        <v>0</v>
      </c>
      <c r="AM28" s="5">
        <f t="shared" si="21"/>
        <v>0</v>
      </c>
      <c r="AN28" s="5">
        <f>SUMPRODUCT(($BN$4:$BN$99='Dummy Table'!$AF28)*($BL$4:$BL$99&lt;$BM$4:$BM$99))</f>
        <v>0</v>
      </c>
      <c r="AO28" s="5">
        <f>SUMPRODUCT(($BN$4:$BN$99='Dummy Table'!$AF28)*($BL$4:$BL$99=$BM$4:$BM$99))</f>
        <v>0</v>
      </c>
      <c r="AP28" s="5">
        <f>SUMPRODUCT(($BN$4:$BN$99='Dummy Table'!$AF28)*($BL$4:$BL$99&gt;$BM$4:$BM$99))</f>
        <v>0</v>
      </c>
      <c r="AQ28" s="5">
        <f>SUMIF($BN$4:$BN$99,'Dummy Table'!$AF28,$BM$4:$BM$99)</f>
        <v>0</v>
      </c>
      <c r="AR28" s="5">
        <f>SUMIF($BN$4:$BN$99,'Dummy Table'!$AF28,$BL$4:$BL$99)</f>
        <v>0</v>
      </c>
      <c r="AS28" s="5">
        <f t="shared" si="22"/>
        <v>0</v>
      </c>
      <c r="AT28" s="5">
        <f t="shared" si="23"/>
        <v>0</v>
      </c>
      <c r="AU28" s="5">
        <f t="shared" si="24"/>
        <v>0</v>
      </c>
      <c r="AV28" s="5">
        <f t="shared" si="25"/>
        <v>0</v>
      </c>
      <c r="AW28" s="5">
        <f t="shared" si="26"/>
        <v>0</v>
      </c>
      <c r="AX28" s="5">
        <f t="shared" si="27"/>
        <v>0</v>
      </c>
      <c r="AY28" s="5">
        <f t="shared" si="28"/>
        <v>0</v>
      </c>
      <c r="AZ28" s="5">
        <f t="shared" si="29"/>
        <v>0</v>
      </c>
      <c r="BA28" s="5">
        <f t="shared" si="41"/>
        <v>0</v>
      </c>
      <c r="BB28" s="5">
        <f t="shared" si="30"/>
        <v>0</v>
      </c>
      <c r="BC28" s="5">
        <f t="shared" si="31"/>
        <v>0</v>
      </c>
      <c r="BD28" s="5">
        <f t="shared" si="32"/>
        <v>100</v>
      </c>
      <c r="BE28" s="75">
        <f>RANK(BA28,BA$28:BA$31)</f>
        <v>1</v>
      </c>
      <c r="BF28" s="75">
        <f>SUMPRODUCT((BA$28:BA$31=BA28)*(AZ$28:AZ$31&gt;AZ28))</f>
        <v>0</v>
      </c>
      <c r="BG28" s="75">
        <f>SUMPRODUCT((BA$28:BA$31=BA28)*(BE$28:BE$31=BE28)*(AZ$28:AZ$31=AZ28)*(AQ$28:AQ$31&gt;AQ28))</f>
        <v>0</v>
      </c>
      <c r="BH28" s="75">
        <f>SUMPRODUCT((BA$28:BA$31=BA28)*(BE$28:BE$31=BE28)*(AZ$28:AZ$31=AZ28)*(AQ$28:AQ$31=AQ28)*(BB$28:BB$31&gt;BB28))</f>
        <v>0</v>
      </c>
      <c r="BI28" s="75">
        <f>SUMPRODUCT((BA$28:BA$31=BA28)*(BE$28:BE$31=BE28)*(AZ$28:AZ$31=AZ28)*(AQ$28:AQ$31=AQ28)*(BB$28:BB$31=BB28)*(BC$28:BC$31&gt;BC28))</f>
        <v>0</v>
      </c>
      <c r="BJ28" s="75">
        <f>SUMPRODUCT((BA$28:BA$31=BA28)*(BE$28:BE$31=BE28)*(AZ$28:AZ$31=AZ28)*(AQ$28:AQ$31=AQ28)*(BB$28:BB$31=BB28)*(BC$28:BC$31=BC28)*(BD$28:BD$31&gt;BD28))</f>
        <v>0</v>
      </c>
      <c r="BK28" s="5" t="str">
        <f>IF(AND(COUNTIF($AF$4:$AF$35,Gruppenphase!G37)&gt;0,COUNTIF($AF$4:$AF$35,Gruppenphase!M37)&gt;0,Gruppenphase!I37&lt;&gt;"",Gruppenphase!K37&lt;&gt;""),Gruppenphase!G37,"")</f>
        <v/>
      </c>
      <c r="BL28" s="5" t="str">
        <f>IF($BK28&lt;&gt;"",Gruppenphase!I37,"")</f>
        <v/>
      </c>
      <c r="BM28" s="5" t="str">
        <f>IF($BK28&lt;&gt;"",Gruppenphase!K37,"")</f>
        <v/>
      </c>
      <c r="BN28" s="5" t="str">
        <f>IF($BK28&lt;&gt;"",Gruppenphase!M37,"")</f>
        <v/>
      </c>
      <c r="BO28" s="5">
        <f t="shared" si="2"/>
        <v>1</v>
      </c>
      <c r="BP28" s="5" t="str">
        <f t="shared" si="33"/>
        <v>Porto</v>
      </c>
      <c r="BQ28" s="5">
        <f>VLOOKUP($AD28,$B$28:$W$31,22,FALSE)</f>
        <v>0</v>
      </c>
      <c r="BS28" s="5">
        <f>SUMPRODUCT(($BK$4:$BK$99='Dummy Table'!$AF28)*($BL$4:$BL$99&gt;$BM$4:$BM$99))</f>
        <v>0</v>
      </c>
      <c r="BT28" s="5">
        <f>SUMPRODUCT(($BK$4:$BK$99='Dummy Table'!$AF28)*($BL$4:$BL$99=$BM$4:$BM$99))</f>
        <v>0</v>
      </c>
      <c r="BU28" s="5">
        <f>SUMPRODUCT(($BK$4:$BK$99='Dummy Table'!$AF28)*($BL$4:$BL$99&lt;$BM$4:$BM$99))</f>
        <v>0</v>
      </c>
      <c r="BV28" s="5">
        <f>SUMIF($BK$4:$BK$99,'Dummy Table'!$AF28,$BL$4:$BL$99)</f>
        <v>0</v>
      </c>
      <c r="BW28" s="5">
        <f>SUMIF($BK$4:$BK$99,'Dummy Table'!$AF28,$BM$4:$BM$99)</f>
        <v>0</v>
      </c>
      <c r="BX28" s="5">
        <f t="shared" si="34"/>
        <v>0</v>
      </c>
      <c r="BY28" s="5" t="str">
        <f t="shared" si="35"/>
        <v/>
      </c>
      <c r="BZ28" s="5">
        <f>SUMPRODUCT(($BN$4:$BN$99='Dummy Table'!$AF28)*($BL$4:$BL$99&lt;$BM$4:$BM$99))</f>
        <v>0</v>
      </c>
      <c r="CA28" s="5">
        <f>SUMPRODUCT(($BN$4:$BN$99='Dummy Table'!$AF28)*($BL$4:$BL$99=$BM$4:$BM$99))</f>
        <v>0</v>
      </c>
      <c r="CB28" s="5">
        <f>SUMPRODUCT(($BN$4:$BN$99='Dummy Table'!$AF28)*($BL$4:$BL$99&gt;$BM$4:$BM$99))</f>
        <v>0</v>
      </c>
      <c r="CC28" s="5">
        <f>SUMIF($BN$4:$BN$99,'Dummy Table'!$AF28,$BM$4:$BM$99)</f>
        <v>0</v>
      </c>
      <c r="CD28" s="5">
        <f>SUMIF($BN$4:$BN$99,'Dummy Table'!$AF28,$BL$4:$BL$99)</f>
        <v>0</v>
      </c>
      <c r="CE28" s="5">
        <f t="shared" si="36"/>
        <v>0</v>
      </c>
      <c r="CF28" s="5" t="str">
        <f t="shared" si="37"/>
        <v/>
      </c>
      <c r="CG28" s="5">
        <f t="shared" si="38"/>
        <v>0</v>
      </c>
      <c r="CH28" s="5">
        <f t="shared" si="3"/>
        <v>0</v>
      </c>
      <c r="CI28" s="5">
        <f t="shared" si="4"/>
        <v>0</v>
      </c>
      <c r="CJ28" s="5">
        <f t="shared" si="5"/>
        <v>0</v>
      </c>
      <c r="CK28" s="5">
        <f t="shared" si="6"/>
        <v>0</v>
      </c>
      <c r="CL28" s="5">
        <f t="shared" si="7"/>
        <v>0</v>
      </c>
      <c r="CM28" s="5">
        <f t="shared" si="42"/>
        <v>-1</v>
      </c>
      <c r="CN28" s="5">
        <v>25</v>
      </c>
      <c r="CO28" s="5">
        <f>RANK(CM28,CM$28:CM$31)</f>
        <v>1</v>
      </c>
      <c r="CP28" s="5">
        <f>SUMPRODUCT((CM$28:CM$31=CM28)*(CO$28:CO$31=CO28)*(CC$28:CC$31&gt;CC28))</f>
        <v>0</v>
      </c>
      <c r="CQ28" s="5">
        <f>SUMPRODUCT((CM$28:CM$31=CM28)*(CL$28:CL$31&gt;CL28))</f>
        <v>0</v>
      </c>
      <c r="CR28" s="5">
        <f>SUMPRODUCT((CO$28:CO$31=CO28)*(CQ$28:CQ$31=CQ28)*(CJ$28:CJ$31&gt;CJ28))</f>
        <v>0</v>
      </c>
      <c r="CS28" s="5">
        <f>SUMPRODUCT((CO$28:CO$31=CO28)*(CQ$28:CQ$31=CQ28)*(CJ$28:CJ$31=CJ28)*(CN$28:CN$31&gt;CN28))</f>
        <v>3</v>
      </c>
      <c r="CT28" s="5" t="str">
        <f>IF(AND(COUNTIF($AF$4:$AF$35,Gruppenphase!$G37)&gt;0,COUNTIF($AF$4:$AF$35,Gruppenphase!$M37)&gt;0),Gruppenphase!$G37,"")</f>
        <v>Zenit St. Petersburg</v>
      </c>
      <c r="CU28" s="5" t="str">
        <f>IF($BK28&lt;&gt;"",Gruppenphase!$I37,"")</f>
        <v/>
      </c>
      <c r="CV28" s="5" t="str">
        <f>IF($BK28&lt;&gt;"",Gruppenphase!$K37,"")</f>
        <v/>
      </c>
      <c r="CW28" s="5" t="str">
        <f>IF($BK28&lt;&gt;"",Gruppenphase!$M37,"")</f>
        <v/>
      </c>
      <c r="CX28" s="5" t="str">
        <f t="shared" si="39"/>
        <v/>
      </c>
      <c r="CY28" s="5" t="str">
        <f t="shared" si="40"/>
        <v/>
      </c>
      <c r="CZ28" s="5">
        <v>1</v>
      </c>
      <c r="DA28" s="5" t="str">
        <f t="shared" si="43"/>
        <v/>
      </c>
      <c r="DB28" s="5">
        <f>IF(DA28="",CZ28,"")</f>
        <v>1</v>
      </c>
      <c r="DC28" s="5" t="str">
        <f>VLOOKUP(DB28,$BO$28:$BP$31,2,FALSE)</f>
        <v>Porto</v>
      </c>
      <c r="DD28" s="5">
        <v>1</v>
      </c>
      <c r="DE28" s="5" t="str">
        <f>IF(DA28="",DC28,DA28)</f>
        <v>Porto</v>
      </c>
    </row>
    <row r="29" spans="1:109" x14ac:dyDescent="0.2">
      <c r="A29" s="5">
        <f t="shared" si="8"/>
        <v>2</v>
      </c>
      <c r="B29" s="5" t="str">
        <f>'Club Namen'!B28</f>
        <v>Shakhtar Donetsk</v>
      </c>
      <c r="C29" s="5">
        <f>SUMPRODUCT((Gruppenphase!$I$13:$I$108&lt;&gt;"")*(Gruppenphase!$K$13:$K$108&lt;&gt;"")*(Gruppenphase!$G$13:$G$108='Dummy Table'!$B29)*(Gruppenphase!$I$13:$I$108&gt;Gruppenphase!$K$13:$K$108))</f>
        <v>0</v>
      </c>
      <c r="D29" s="5">
        <f>SUMPRODUCT((Gruppenphase!$I$13:$I$108&lt;&gt;"")*(Gruppenphase!$K$13:$K$108&lt;&gt;"")*(Gruppenphase!$G$13:$G$108='Dummy Table'!$B29)*(Gruppenphase!$I$13:$I$108=Gruppenphase!$K$13:$K$108))</f>
        <v>0</v>
      </c>
      <c r="E29" s="5">
        <f>SUMPRODUCT((Gruppenphase!$I$13:$I$108&lt;&gt;"")*(Gruppenphase!$K$13:$K$108&lt;&gt;"")*(Gruppenphase!$G$13:$G$108='Dummy Table'!$B29)*(Gruppenphase!$I$13:$I$108&lt;Gruppenphase!$K$13:$K$108))</f>
        <v>0</v>
      </c>
      <c r="F29" s="5">
        <f>SUMIF(Gruppenphase!$G$13:$G$108,'Dummy Table'!$B29,Gruppenphase!$I$13:$I$108)</f>
        <v>0</v>
      </c>
      <c r="G29" s="5">
        <f>SUMIF(Gruppenphase!$G$13:$G$108,'Dummy Table'!$B29,Gruppenphase!$K$13:$K$108)</f>
        <v>0</v>
      </c>
      <c r="H29" s="5">
        <f t="shared" si="9"/>
        <v>0</v>
      </c>
      <c r="I29" s="5">
        <f t="shared" si="10"/>
        <v>0</v>
      </c>
      <c r="J29" s="5">
        <f>SUMPRODUCT((Gruppenphase!$I$13:$I$108&lt;&gt;"")*(Gruppenphase!$K$13:$K$108&lt;&gt;"")*(Gruppenphase!$M$13:$M$108='Dummy Table'!$B29)*(Gruppenphase!$I$13:$I$108&lt;Gruppenphase!$K$13:$K$108))</f>
        <v>0</v>
      </c>
      <c r="K29" s="5">
        <f>SUMPRODUCT((Gruppenphase!$I$13:$I$108&lt;&gt;"")*(Gruppenphase!$K$13:$K$108&lt;&gt;"")*(Gruppenphase!$M$13:$M$108='Dummy Table'!$B29)*(Gruppenphase!$I$13:$I$108=Gruppenphase!$K$13:$K$108))</f>
        <v>0</v>
      </c>
      <c r="L29" s="5">
        <f>SUMPRODUCT((Gruppenphase!$I$13:$I$108&lt;&gt;"")*(Gruppenphase!$K$13:$K$108&lt;&gt;"")*(Gruppenphase!$M$13:$M$108='Dummy Table'!$B29)*(Gruppenphase!$I$13:$I$108&gt;Gruppenphase!$K$13:$K$108))</f>
        <v>0</v>
      </c>
      <c r="M29" s="5">
        <f>SUMIF(Gruppenphase!$M$13:$M$108,'Dummy Table'!$B29,Gruppenphase!$K$13:$K$108)</f>
        <v>0</v>
      </c>
      <c r="N29" s="5">
        <f>SUMIF(Gruppenphase!$M$13:$M$108,'Dummy Table'!$B29,Gruppenphase!$I$13:$I$108)</f>
        <v>0</v>
      </c>
      <c r="O29" s="5">
        <f t="shared" si="11"/>
        <v>0</v>
      </c>
      <c r="P29" s="5">
        <f t="shared" si="12"/>
        <v>0</v>
      </c>
      <c r="Q29" s="5">
        <f t="shared" si="13"/>
        <v>0</v>
      </c>
      <c r="R29" s="5">
        <f t="shared" si="14"/>
        <v>0</v>
      </c>
      <c r="S29" s="5">
        <f t="shared" si="15"/>
        <v>0</v>
      </c>
      <c r="T29" s="5">
        <f t="shared" si="16"/>
        <v>0</v>
      </c>
      <c r="U29" s="5">
        <f t="shared" si="17"/>
        <v>0</v>
      </c>
      <c r="V29" s="5">
        <f t="shared" si="18"/>
        <v>0</v>
      </c>
      <c r="W29" s="5">
        <f t="shared" si="19"/>
        <v>0</v>
      </c>
      <c r="X29" s="5">
        <v>56</v>
      </c>
      <c r="Y29" s="5">
        <f>RANK(W29,W$28:W$31)</f>
        <v>1</v>
      </c>
      <c r="Z29" s="5">
        <f>SUMPRODUCT((W$28:W$31=W29)*(V$28:V$31&gt;V29))</f>
        <v>0</v>
      </c>
      <c r="AA29" s="5">
        <f>SUMPRODUCT((Y$28:Y$31=Y29)*(Z$28:Z$31=Z29)*(T$28:T$31&gt;T29))</f>
        <v>0</v>
      </c>
      <c r="AB29" s="5">
        <f>SUMPRODUCT((Y$28:Y$31=Y29)*(Z$28:Z$31=Z29)*(T$28:T$31=T29)*(X$28:X$31&gt;X29))</f>
        <v>1</v>
      </c>
      <c r="AC29" s="5">
        <v>2</v>
      </c>
      <c r="AD29" s="5" t="str">
        <f>VLOOKUP(AC29,$A$28:$B$31,2,FALSE)</f>
        <v>Shakhtar Donetsk</v>
      </c>
      <c r="AE29" s="5">
        <f>VLOOKUP($AD29,$B$28:$W$31,22,FALSE)</f>
        <v>0</v>
      </c>
      <c r="AF29" s="5" t="str">
        <f>IF(OR(AE29=AE28,AE29=AE30),AD29,"")</f>
        <v>Shakhtar Donetsk</v>
      </c>
      <c r="AG29" s="5">
        <f>SUMPRODUCT(($BK$4:$BK$99='Dummy Table'!$AF29)*($BL$4:$BL$99&gt;$BM$4:$BM$99))</f>
        <v>0</v>
      </c>
      <c r="AH29" s="5">
        <f>SUMPRODUCT(($BK$4:$BK$99='Dummy Table'!$AF29)*($BL$4:$BL$99=$BM$4:$BM$99))</f>
        <v>0</v>
      </c>
      <c r="AI29" s="5">
        <f>SUMPRODUCT(($BK$4:$BK$99='Dummy Table'!$AF29)*($BL$4:$BL$99&lt;$BM$4:$BM$99))</f>
        <v>0</v>
      </c>
      <c r="AJ29" s="5">
        <f>SUMIF($BK$4:$BK$99,'Dummy Table'!$AF29,$BL$4:$BL$99)</f>
        <v>0</v>
      </c>
      <c r="AK29" s="5">
        <f>SUMIF($BK$4:$BK$99,'Dummy Table'!$AF29,$BM$4:$BM$99)</f>
        <v>0</v>
      </c>
      <c r="AL29" s="5">
        <f t="shared" si="20"/>
        <v>0</v>
      </c>
      <c r="AM29" s="5">
        <f t="shared" si="21"/>
        <v>0</v>
      </c>
      <c r="AN29" s="5">
        <f>SUMPRODUCT(($BN$4:$BN$99='Dummy Table'!$AF29)*($BL$4:$BL$99&lt;$BM$4:$BM$99))</f>
        <v>0</v>
      </c>
      <c r="AO29" s="5">
        <f>SUMPRODUCT(($BN$4:$BN$99='Dummy Table'!$AF29)*($BL$4:$BL$99=$BM$4:$BM$99))</f>
        <v>0</v>
      </c>
      <c r="AP29" s="5">
        <f>SUMPRODUCT(($BN$4:$BN$99='Dummy Table'!$AF29)*($BL$4:$BL$99&gt;$BM$4:$BM$99))</f>
        <v>0</v>
      </c>
      <c r="AQ29" s="5">
        <f>SUMIF($BN$4:$BN$99,'Dummy Table'!$AF29,$BM$4:$BM$99)</f>
        <v>0</v>
      </c>
      <c r="AR29" s="5">
        <f>SUMIF($BN$4:$BN$99,'Dummy Table'!$AF29,$BL$4:$BL$99)</f>
        <v>0</v>
      </c>
      <c r="AS29" s="5">
        <f t="shared" si="22"/>
        <v>0</v>
      </c>
      <c r="AT29" s="5">
        <f t="shared" si="23"/>
        <v>0</v>
      </c>
      <c r="AU29" s="5">
        <f t="shared" si="24"/>
        <v>0</v>
      </c>
      <c r="AV29" s="5">
        <f t="shared" si="25"/>
        <v>0</v>
      </c>
      <c r="AW29" s="5">
        <f t="shared" si="26"/>
        <v>0</v>
      </c>
      <c r="AX29" s="5">
        <f t="shared" si="27"/>
        <v>0</v>
      </c>
      <c r="AY29" s="5">
        <f t="shared" si="28"/>
        <v>0</v>
      </c>
      <c r="AZ29" s="5">
        <f t="shared" si="29"/>
        <v>0</v>
      </c>
      <c r="BA29" s="5">
        <f t="shared" si="41"/>
        <v>0</v>
      </c>
      <c r="BB29" s="5">
        <f t="shared" si="30"/>
        <v>0</v>
      </c>
      <c r="BC29" s="5">
        <f t="shared" si="31"/>
        <v>0</v>
      </c>
      <c r="BD29" s="5">
        <f t="shared" si="32"/>
        <v>56</v>
      </c>
      <c r="BE29" s="75">
        <f>RANK(BA29,BA$28:BA$31)</f>
        <v>1</v>
      </c>
      <c r="BF29" s="75">
        <f>SUMPRODUCT((BA$28:BA$31=BA29)*(AZ$28:AZ$31&gt;AZ29))</f>
        <v>0</v>
      </c>
      <c r="BG29" s="75">
        <f>SUMPRODUCT((BA$28:BA$31=BA29)*(BE$28:BE$31=BE29)*(AZ$28:AZ$31=AZ29)*(AQ$28:AQ$31&gt;AQ29))</f>
        <v>0</v>
      </c>
      <c r="BH29" s="75">
        <f>SUMPRODUCT((BA$28:BA$31=BA29)*(BE$28:BE$31=BE29)*(AZ$28:AZ$31=AZ29)*(AQ$28:AQ$31=AQ29)*(BB$28:BB$31&gt;BB29))</f>
        <v>0</v>
      </c>
      <c r="BI29" s="75">
        <f>SUMPRODUCT((BA$28:BA$31=BA29)*(BE$28:BE$31=BE29)*(AZ$28:AZ$31=AZ29)*(AQ$28:AQ$31=AQ29)*(BB$28:BB$31=BB29)*(BC$28:BC$31&gt;BC29))</f>
        <v>0</v>
      </c>
      <c r="BJ29" s="75">
        <f>SUMPRODUCT((BA$28:BA$31=BA29)*(BE$28:BE$31=BE29)*(AZ$28:AZ$31=AZ29)*(AQ$28:AQ$31=AQ29)*(BB$28:BB$31=BB29)*(BC$28:BC$31=BC29)*(BD$28:BD$31&gt;BD29))</f>
        <v>1</v>
      </c>
      <c r="BK29" s="5" t="str">
        <f>IF(AND(COUNTIF($AF$4:$AF$35,Gruppenphase!G38)&gt;0,COUNTIF($AF$4:$AF$35,Gruppenphase!M38)&gt;0,Gruppenphase!I38&lt;&gt;"",Gruppenphase!K38&lt;&gt;""),Gruppenphase!G38,"")</f>
        <v/>
      </c>
      <c r="BL29" s="5" t="str">
        <f>IF($BK29&lt;&gt;"",Gruppenphase!I38,"")</f>
        <v/>
      </c>
      <c r="BM29" s="5" t="str">
        <f>IF($BK29&lt;&gt;"",Gruppenphase!K38,"")</f>
        <v/>
      </c>
      <c r="BN29" s="5" t="str">
        <f>IF($BK29&lt;&gt;"",Gruppenphase!M38,"")</f>
        <v/>
      </c>
      <c r="BO29" s="5">
        <f t="shared" si="2"/>
        <v>2</v>
      </c>
      <c r="BP29" s="5" t="str">
        <f t="shared" si="33"/>
        <v>Shakhtar Donetsk</v>
      </c>
      <c r="BQ29" s="5">
        <f>VLOOKUP($AD29,$B$28:$W$31,22,FALSE)</f>
        <v>0</v>
      </c>
      <c r="BS29" s="5">
        <f>SUMPRODUCT(($BK$4:$BK$99='Dummy Table'!$AF29)*($BL$4:$BL$99&gt;$BM$4:$BM$99))</f>
        <v>0</v>
      </c>
      <c r="BT29" s="5">
        <f>SUMPRODUCT(($BK$4:$BK$99='Dummy Table'!$AF29)*($BL$4:$BL$99=$BM$4:$BM$99))</f>
        <v>0</v>
      </c>
      <c r="BU29" s="5">
        <f>SUMPRODUCT(($BK$4:$BK$99='Dummy Table'!$AF29)*($BL$4:$BL$99&lt;$BM$4:$BM$99))</f>
        <v>0</v>
      </c>
      <c r="BV29" s="5">
        <f>SUMIF($BK$4:$BK$99,'Dummy Table'!$AF29,$BL$4:$BL$99)</f>
        <v>0</v>
      </c>
      <c r="BW29" s="5">
        <f>SUMIF($BK$4:$BK$99,'Dummy Table'!$AF29,$BM$4:$BM$99)</f>
        <v>0</v>
      </c>
      <c r="BX29" s="5">
        <f t="shared" si="34"/>
        <v>0</v>
      </c>
      <c r="BY29" s="5" t="str">
        <f t="shared" si="35"/>
        <v/>
      </c>
      <c r="BZ29" s="5">
        <f>SUMPRODUCT(($BN$4:$BN$99='Dummy Table'!$AF29)*($BL$4:$BL$99&lt;$BM$4:$BM$99))</f>
        <v>0</v>
      </c>
      <c r="CA29" s="5">
        <f>SUMPRODUCT(($BN$4:$BN$99='Dummy Table'!$AF29)*($BL$4:$BL$99=$BM$4:$BM$99))</f>
        <v>0</v>
      </c>
      <c r="CB29" s="5">
        <f>SUMPRODUCT(($BN$4:$BN$99='Dummy Table'!$AF29)*($BL$4:$BL$99&gt;$BM$4:$BM$99))</f>
        <v>0</v>
      </c>
      <c r="CC29" s="5">
        <f>SUMIF($BN$4:$BN$99,'Dummy Table'!$AF29,$BM$4:$BM$99)</f>
        <v>0</v>
      </c>
      <c r="CD29" s="5">
        <f>SUMIF($BN$4:$BN$99,'Dummy Table'!$AF29,$BL$4:$BL$99)</f>
        <v>0</v>
      </c>
      <c r="CE29" s="5">
        <f t="shared" si="36"/>
        <v>0</v>
      </c>
      <c r="CF29" s="5" t="str">
        <f t="shared" si="37"/>
        <v/>
      </c>
      <c r="CG29" s="5">
        <f t="shared" si="38"/>
        <v>0</v>
      </c>
      <c r="CH29" s="5">
        <f t="shared" si="3"/>
        <v>0</v>
      </c>
      <c r="CI29" s="5">
        <f t="shared" si="4"/>
        <v>0</v>
      </c>
      <c r="CJ29" s="5">
        <f t="shared" si="5"/>
        <v>0</v>
      </c>
      <c r="CK29" s="5">
        <f t="shared" si="6"/>
        <v>0</v>
      </c>
      <c r="CL29" s="5">
        <f t="shared" si="7"/>
        <v>0</v>
      </c>
      <c r="CM29" s="5">
        <f t="shared" si="42"/>
        <v>-1</v>
      </c>
      <c r="CN29" s="5">
        <v>26</v>
      </c>
      <c r="CO29" s="5">
        <f>RANK(CM29,CM$28:CM$31)</f>
        <v>1</v>
      </c>
      <c r="CP29" s="5">
        <f>SUMPRODUCT((CM$28:CM$31=CM29)*(CO$28:CO$31=CO29)*(CC$28:CC$31&gt;CC29))</f>
        <v>0</v>
      </c>
      <c r="CQ29" s="5">
        <f>SUMPRODUCT((CM$28:CM$31=CM29)*(CL$28:CL$31&gt;CL29))</f>
        <v>0</v>
      </c>
      <c r="CR29" s="5">
        <f>SUMPRODUCT((CO$28:CO$31=CO29)*(CQ$28:CQ$31=CQ29)*(CJ$28:CJ$31&gt;CJ29))</f>
        <v>0</v>
      </c>
      <c r="CS29" s="5">
        <f>SUMPRODUCT((CO$28:CO$31=CO29)*(CQ$28:CQ$31=CQ29)*(CJ$28:CJ$31=CJ29)*(CN$28:CN$31&gt;CN29))</f>
        <v>2</v>
      </c>
      <c r="CT29" s="5" t="str">
        <f>IF(AND(COUNTIF($AF$4:$AF$35,Gruppenphase!$G38)&gt;0,COUNTIF($AF$4:$AF$35,Gruppenphase!$M38)&gt;0),Gruppenphase!$G38,"")</f>
        <v>Valencia</v>
      </c>
      <c r="CU29" s="5" t="str">
        <f>IF($BK29&lt;&gt;"",Gruppenphase!$I38,"")</f>
        <v/>
      </c>
      <c r="CV29" s="5" t="str">
        <f>IF($BK29&lt;&gt;"",Gruppenphase!$K38,"")</f>
        <v/>
      </c>
      <c r="CW29" s="5" t="str">
        <f>IF($BK29&lt;&gt;"",Gruppenphase!$M38,"")</f>
        <v/>
      </c>
      <c r="CX29" s="5" t="str">
        <f t="shared" si="39"/>
        <v/>
      </c>
      <c r="CY29" s="5" t="str">
        <f t="shared" si="40"/>
        <v/>
      </c>
      <c r="CZ29" s="5">
        <v>2</v>
      </c>
      <c r="DA29" s="5" t="str">
        <f t="shared" si="43"/>
        <v/>
      </c>
      <c r="DB29" s="5">
        <f>IF(AND(DA29="",DA28=""),CZ29,IF(AND(DA28&lt;&gt;"",DA29=""),1,""))</f>
        <v>2</v>
      </c>
      <c r="DC29" s="5" t="str">
        <f>VLOOKUP(DB29,$BO$28:$BP$31,2,FALSE)</f>
        <v>Shakhtar Donetsk</v>
      </c>
      <c r="DD29" s="5">
        <v>2</v>
      </c>
      <c r="DE29" s="5" t="str">
        <f>IF(DA29="",DC29,DA29)</f>
        <v>Shakhtar Donetsk</v>
      </c>
    </row>
    <row r="30" spans="1:109" x14ac:dyDescent="0.2">
      <c r="A30" s="5">
        <f t="shared" si="8"/>
        <v>3</v>
      </c>
      <c r="B30" s="5" t="str">
        <f>'Club Namen'!B29</f>
        <v>Zenit St. Petersburg</v>
      </c>
      <c r="C30" s="5">
        <f>SUMPRODUCT((Gruppenphase!$I$13:$I$108&lt;&gt;"")*(Gruppenphase!$K$13:$K$108&lt;&gt;"")*(Gruppenphase!$G$13:$G$108='Dummy Table'!$B30)*(Gruppenphase!$I$13:$I$108&gt;Gruppenphase!$K$13:$K$108))</f>
        <v>0</v>
      </c>
      <c r="D30" s="5">
        <f>SUMPRODUCT((Gruppenphase!$I$13:$I$108&lt;&gt;"")*(Gruppenphase!$K$13:$K$108&lt;&gt;"")*(Gruppenphase!$G$13:$G$108='Dummy Table'!$B30)*(Gruppenphase!$I$13:$I$108=Gruppenphase!$K$13:$K$108))</f>
        <v>0</v>
      </c>
      <c r="E30" s="5">
        <f>SUMPRODUCT((Gruppenphase!$I$13:$I$108&lt;&gt;"")*(Gruppenphase!$K$13:$K$108&lt;&gt;"")*(Gruppenphase!$G$13:$G$108='Dummy Table'!$B30)*(Gruppenphase!$I$13:$I$108&lt;Gruppenphase!$K$13:$K$108))</f>
        <v>0</v>
      </c>
      <c r="F30" s="5">
        <f>SUMIF(Gruppenphase!$G$13:$G$108,'Dummy Table'!$B30,Gruppenphase!$I$13:$I$108)</f>
        <v>0</v>
      </c>
      <c r="G30" s="5">
        <f>SUMIF(Gruppenphase!$G$13:$G$108,'Dummy Table'!$B30,Gruppenphase!$K$13:$K$108)</f>
        <v>0</v>
      </c>
      <c r="H30" s="5">
        <f t="shared" si="9"/>
        <v>0</v>
      </c>
      <c r="I30" s="5">
        <f t="shared" si="10"/>
        <v>0</v>
      </c>
      <c r="J30" s="5">
        <f>SUMPRODUCT((Gruppenphase!$I$13:$I$108&lt;&gt;"")*(Gruppenphase!$K$13:$K$108&lt;&gt;"")*(Gruppenphase!$M$13:$M$108='Dummy Table'!$B30)*(Gruppenphase!$I$13:$I$108&lt;Gruppenphase!$K$13:$K$108))</f>
        <v>0</v>
      </c>
      <c r="K30" s="5">
        <f>SUMPRODUCT((Gruppenphase!$I$13:$I$108&lt;&gt;"")*(Gruppenphase!$K$13:$K$108&lt;&gt;"")*(Gruppenphase!$M$13:$M$108='Dummy Table'!$B30)*(Gruppenphase!$I$13:$I$108=Gruppenphase!$K$13:$K$108))</f>
        <v>0</v>
      </c>
      <c r="L30" s="5">
        <f>SUMPRODUCT((Gruppenphase!$I$13:$I$108&lt;&gt;"")*(Gruppenphase!$K$13:$K$108&lt;&gt;"")*(Gruppenphase!$M$13:$M$108='Dummy Table'!$B30)*(Gruppenphase!$I$13:$I$108&gt;Gruppenphase!$K$13:$K$108))</f>
        <v>0</v>
      </c>
      <c r="M30" s="5">
        <f>SUMIF(Gruppenphase!$M$13:$M$108,'Dummy Table'!$B30,Gruppenphase!$K$13:$K$108)</f>
        <v>0</v>
      </c>
      <c r="N30" s="5">
        <f>SUMIF(Gruppenphase!$M$13:$M$108,'Dummy Table'!$B30,Gruppenphase!$I$13:$I$108)</f>
        <v>0</v>
      </c>
      <c r="O30" s="5">
        <f t="shared" si="11"/>
        <v>0</v>
      </c>
      <c r="P30" s="5">
        <f t="shared" si="12"/>
        <v>0</v>
      </c>
      <c r="Q30" s="5">
        <f t="shared" si="13"/>
        <v>0</v>
      </c>
      <c r="R30" s="5">
        <f t="shared" si="14"/>
        <v>0</v>
      </c>
      <c r="S30" s="5">
        <f t="shared" si="15"/>
        <v>0</v>
      </c>
      <c r="T30" s="5">
        <f t="shared" si="16"/>
        <v>0</v>
      </c>
      <c r="U30" s="5">
        <f t="shared" si="17"/>
        <v>0</v>
      </c>
      <c r="V30" s="5">
        <f t="shared" si="18"/>
        <v>0</v>
      </c>
      <c r="W30" s="5">
        <f t="shared" si="19"/>
        <v>0</v>
      </c>
      <c r="X30" s="5">
        <v>45</v>
      </c>
      <c r="Y30" s="5">
        <f>RANK(W30,W$28:W$31)</f>
        <v>1</v>
      </c>
      <c r="Z30" s="5">
        <f>SUMPRODUCT((W$28:W$31=W30)*(V$28:V$31&gt;V30))</f>
        <v>0</v>
      </c>
      <c r="AA30" s="5">
        <f>SUMPRODUCT((Y$28:Y$31=Y30)*(Z$28:Z$31=Z30)*(T$28:T$31&gt;T30))</f>
        <v>0</v>
      </c>
      <c r="AB30" s="5">
        <f>SUMPRODUCT((Y$28:Y$31=Y30)*(Z$28:Z$31=Z30)*(T$28:T$31=T30)*(X$28:X$31&gt;X30))</f>
        <v>2</v>
      </c>
      <c r="AC30" s="5">
        <v>3</v>
      </c>
      <c r="AD30" s="5" t="str">
        <f>VLOOKUP(AC30,$A$28:$B$31,2,FALSE)</f>
        <v>Zenit St. Petersburg</v>
      </c>
      <c r="AE30" s="5">
        <f>VLOOKUP($AD30,$B$28:$W$31,22,FALSE)</f>
        <v>0</v>
      </c>
      <c r="AF30" s="5" t="str">
        <f>IF(AE30=AE29,AD30,"")</f>
        <v>Zenit St. Petersburg</v>
      </c>
      <c r="AG30" s="5">
        <f>SUMPRODUCT(($BK$4:$BK$99='Dummy Table'!$AF30)*($BL$4:$BL$99&gt;$BM$4:$BM$99))</f>
        <v>0</v>
      </c>
      <c r="AH30" s="5">
        <f>SUMPRODUCT(($BK$4:$BK$99='Dummy Table'!$AF30)*($BL$4:$BL$99=$BM$4:$BM$99))</f>
        <v>0</v>
      </c>
      <c r="AI30" s="5">
        <f>SUMPRODUCT(($BK$4:$BK$99='Dummy Table'!$AF30)*($BL$4:$BL$99&lt;$BM$4:$BM$99))</f>
        <v>0</v>
      </c>
      <c r="AJ30" s="5">
        <f>SUMIF($BK$4:$BK$99,'Dummy Table'!$AF30,$BL$4:$BL$99)</f>
        <v>0</v>
      </c>
      <c r="AK30" s="5">
        <f>SUMIF($BK$4:$BK$99,'Dummy Table'!$AF30,$BM$4:$BM$99)</f>
        <v>0</v>
      </c>
      <c r="AL30" s="5">
        <f t="shared" si="20"/>
        <v>0</v>
      </c>
      <c r="AM30" s="5">
        <f t="shared" si="21"/>
        <v>0</v>
      </c>
      <c r="AN30" s="5">
        <f>SUMPRODUCT(($BN$4:$BN$99='Dummy Table'!$AF30)*($BL$4:$BL$99&lt;$BM$4:$BM$99))</f>
        <v>0</v>
      </c>
      <c r="AO30" s="5">
        <f>SUMPRODUCT(($BN$4:$BN$99='Dummy Table'!$AF30)*($BL$4:$BL$99=$BM$4:$BM$99))</f>
        <v>0</v>
      </c>
      <c r="AP30" s="5">
        <f>SUMPRODUCT(($BN$4:$BN$99='Dummy Table'!$AF30)*($BL$4:$BL$99&gt;$BM$4:$BM$99))</f>
        <v>0</v>
      </c>
      <c r="AQ30" s="5">
        <f>SUMIF($BN$4:$BN$99,'Dummy Table'!$AF30,$BM$4:$BM$99)</f>
        <v>0</v>
      </c>
      <c r="AR30" s="5">
        <f>SUMIF($BN$4:$BN$99,'Dummy Table'!$AF30,$BL$4:$BL$99)</f>
        <v>0</v>
      </c>
      <c r="AS30" s="5">
        <f t="shared" si="22"/>
        <v>0</v>
      </c>
      <c r="AT30" s="5">
        <f t="shared" si="23"/>
        <v>0</v>
      </c>
      <c r="AU30" s="5">
        <f t="shared" si="24"/>
        <v>0</v>
      </c>
      <c r="AV30" s="5">
        <f t="shared" si="25"/>
        <v>0</v>
      </c>
      <c r="AW30" s="5">
        <f t="shared" si="26"/>
        <v>0</v>
      </c>
      <c r="AX30" s="5">
        <f t="shared" si="27"/>
        <v>0</v>
      </c>
      <c r="AY30" s="5">
        <f t="shared" si="28"/>
        <v>0</v>
      </c>
      <c r="AZ30" s="5">
        <f t="shared" si="29"/>
        <v>0</v>
      </c>
      <c r="BA30" s="5">
        <f t="shared" si="41"/>
        <v>0</v>
      </c>
      <c r="BB30" s="5">
        <f t="shared" si="30"/>
        <v>0</v>
      </c>
      <c r="BC30" s="5">
        <f t="shared" si="31"/>
        <v>0</v>
      </c>
      <c r="BD30" s="5">
        <f t="shared" si="32"/>
        <v>45</v>
      </c>
      <c r="BE30" s="75">
        <f>RANK(BA30,BA$28:BA$31)</f>
        <v>1</v>
      </c>
      <c r="BF30" s="75">
        <f>SUMPRODUCT((BA$28:BA$31=BA30)*(AZ$28:AZ$31&gt;AZ30))</f>
        <v>0</v>
      </c>
      <c r="BG30" s="75">
        <f>SUMPRODUCT((BA$28:BA$31=BA30)*(BE$28:BE$31=BE30)*(AZ$28:AZ$31=AZ30)*(AQ$28:AQ$31&gt;AQ30))</f>
        <v>0</v>
      </c>
      <c r="BH30" s="75">
        <f>SUMPRODUCT((BA$28:BA$31=BA30)*(BE$28:BE$31=BE30)*(AZ$28:AZ$31=AZ30)*(AQ$28:AQ$31=AQ30)*(BB$28:BB$31&gt;BB30))</f>
        <v>0</v>
      </c>
      <c r="BI30" s="75">
        <f>SUMPRODUCT((BA$28:BA$31=BA30)*(BE$28:BE$31=BE30)*(AZ$28:AZ$31=AZ30)*(AQ$28:AQ$31=AQ30)*(BB$28:BB$31=BB30)*(BC$28:BC$31&gt;BC30))</f>
        <v>0</v>
      </c>
      <c r="BJ30" s="75">
        <f>SUMPRODUCT((BA$28:BA$31=BA30)*(BE$28:BE$31=BE30)*(AZ$28:AZ$31=AZ30)*(AQ$28:AQ$31=AQ30)*(BB$28:BB$31=BB30)*(BC$28:BC$31=BC30)*(BD$28:BD$31&gt;BD30))</f>
        <v>2</v>
      </c>
      <c r="BK30" s="5" t="str">
        <f>IF(AND(COUNTIF($AF$4:$AF$35,Gruppenphase!G39)&gt;0,COUNTIF($AF$4:$AF$35,Gruppenphase!M39)&gt;0,Gruppenphase!I39&lt;&gt;"",Gruppenphase!K39&lt;&gt;""),Gruppenphase!G39,"")</f>
        <v/>
      </c>
      <c r="BL30" s="5" t="str">
        <f>IF($BK30&lt;&gt;"",Gruppenphase!I39,"")</f>
        <v/>
      </c>
      <c r="BM30" s="5" t="str">
        <f>IF($BK30&lt;&gt;"",Gruppenphase!K39,"")</f>
        <v/>
      </c>
      <c r="BN30" s="5" t="str">
        <f>IF($BK30&lt;&gt;"",Gruppenphase!M39,"")</f>
        <v/>
      </c>
      <c r="BO30" s="5">
        <f t="shared" si="2"/>
        <v>3</v>
      </c>
      <c r="BP30" s="5" t="str">
        <f t="shared" si="33"/>
        <v>Zenit St. Petersburg</v>
      </c>
      <c r="BQ30" s="5">
        <f>VLOOKUP($AD30,$B$28:$W$31,22,FALSE)</f>
        <v>0</v>
      </c>
      <c r="BR30" s="5" t="str">
        <f>IF(AND(BQ30&lt;&gt;BQ29,BQ30=BQ31),AD30,"")</f>
        <v/>
      </c>
      <c r="BS30" s="5">
        <f>SUMPRODUCT(($BK$4:$BK$99='Dummy Table'!$AF30)*($BL$4:$BL$99&gt;$BM$4:$BM$99))</f>
        <v>0</v>
      </c>
      <c r="BT30" s="5">
        <f>SUMPRODUCT(($BK$4:$BK$99='Dummy Table'!$AF30)*($BL$4:$BL$99=$BM$4:$BM$99))</f>
        <v>0</v>
      </c>
      <c r="BU30" s="5">
        <f>SUMPRODUCT(($BK$4:$BK$99='Dummy Table'!$AF30)*($BL$4:$BL$99&lt;$BM$4:$BM$99))</f>
        <v>0</v>
      </c>
      <c r="BV30" s="5">
        <f>SUMIF($BK$4:$BK$99,'Dummy Table'!$AF30,$BL$4:$BL$99)</f>
        <v>0</v>
      </c>
      <c r="BW30" s="5">
        <f>SUMIF($BK$4:$BK$99,'Dummy Table'!$AF30,$BM$4:$BM$99)</f>
        <v>0</v>
      </c>
      <c r="BX30" s="5">
        <f t="shared" si="34"/>
        <v>0</v>
      </c>
      <c r="BY30" s="5" t="str">
        <f t="shared" si="35"/>
        <v/>
      </c>
      <c r="BZ30" s="5">
        <f>SUMPRODUCT(($BN$4:$BN$99='Dummy Table'!$AF30)*($BL$4:$BL$99&lt;$BM$4:$BM$99))</f>
        <v>0</v>
      </c>
      <c r="CA30" s="5">
        <f>SUMPRODUCT(($BN$4:$BN$99='Dummy Table'!$AF30)*($BL$4:$BL$99=$BM$4:$BM$99))</f>
        <v>0</v>
      </c>
      <c r="CB30" s="5">
        <f>SUMPRODUCT(($BN$4:$BN$99='Dummy Table'!$AF30)*($BL$4:$BL$99&gt;$BM$4:$BM$99))</f>
        <v>0</v>
      </c>
      <c r="CC30" s="5">
        <f>SUMIF($BN$4:$BN$99,'Dummy Table'!$AF30,$BM$4:$BM$99)</f>
        <v>0</v>
      </c>
      <c r="CD30" s="5">
        <f>SUMIF($BN$4:$BN$99,'Dummy Table'!$AF30,$BL$4:$BL$99)</f>
        <v>0</v>
      </c>
      <c r="CE30" s="5">
        <f t="shared" si="36"/>
        <v>0</v>
      </c>
      <c r="CF30" s="5" t="str">
        <f t="shared" si="37"/>
        <v/>
      </c>
      <c r="CG30" s="5">
        <f t="shared" si="38"/>
        <v>0</v>
      </c>
      <c r="CH30" s="5">
        <f t="shared" si="3"/>
        <v>0</v>
      </c>
      <c r="CI30" s="5">
        <f t="shared" si="4"/>
        <v>0</v>
      </c>
      <c r="CJ30" s="5">
        <f t="shared" si="5"/>
        <v>0</v>
      </c>
      <c r="CK30" s="5">
        <f t="shared" si="6"/>
        <v>0</v>
      </c>
      <c r="CL30" s="5">
        <f t="shared" si="7"/>
        <v>0</v>
      </c>
      <c r="CM30" s="5">
        <f t="shared" si="42"/>
        <v>-1</v>
      </c>
      <c r="CN30" s="5">
        <v>27</v>
      </c>
      <c r="CO30" s="5">
        <f>RANK(CM30,CM$28:CM$31)</f>
        <v>1</v>
      </c>
      <c r="CP30" s="5">
        <f>SUMPRODUCT((CM$28:CM$31=CM30)*(CO$28:CO$31=CO30)*(CC$28:CC$31&gt;CC30))</f>
        <v>0</v>
      </c>
      <c r="CQ30" s="5">
        <f>SUMPRODUCT((CM$28:CM$31=CM30)*(CL$28:CL$31&gt;CL30))</f>
        <v>0</v>
      </c>
      <c r="CR30" s="5">
        <f>SUMPRODUCT((CO$28:CO$31=CO30)*(CQ$28:CQ$31=CQ30)*(CJ$28:CJ$31&gt;CJ30))</f>
        <v>0</v>
      </c>
      <c r="CS30" s="5">
        <f>SUMPRODUCT((CO$28:CO$31=CO30)*(CQ$28:CQ$31=CQ30)*(CJ$28:CJ$31=CJ30)*(CN$28:CN$31&gt;CN30))</f>
        <v>1</v>
      </c>
      <c r="CT30" s="5" t="str">
        <f>IF(AND(COUNTIF($AF$4:$AF$35,Gruppenphase!$G39)&gt;0,COUNTIF($AF$4:$AF$35,Gruppenphase!$M39)&gt;0),Gruppenphase!$G39,"")</f>
        <v>Bayer Leverkusen</v>
      </c>
      <c r="CU30" s="5" t="str">
        <f>IF($BK30&lt;&gt;"",Gruppenphase!$I39,"")</f>
        <v/>
      </c>
      <c r="CV30" s="5" t="str">
        <f>IF($BK30&lt;&gt;"",Gruppenphase!$K39,"")</f>
        <v/>
      </c>
      <c r="CW30" s="5" t="str">
        <f>IF($BK30&lt;&gt;"",Gruppenphase!$M39,"")</f>
        <v/>
      </c>
      <c r="CX30" s="5" t="str">
        <f t="shared" si="39"/>
        <v/>
      </c>
      <c r="CY30" s="5" t="str">
        <f t="shared" si="40"/>
        <v/>
      </c>
      <c r="CZ30" s="5">
        <v>3</v>
      </c>
      <c r="DA30" s="5" t="str">
        <f t="shared" si="43"/>
        <v/>
      </c>
      <c r="DB30" s="5">
        <f>IF(AND(DA30="",DA29="",DA28=""),CZ30,IF(AND(DA28&lt;&gt;"",DA29="",DA30=""),2,IF(AND(DA28&lt;&gt;"",DA29&lt;&gt;"",DA30=""),1,"")))</f>
        <v>3</v>
      </c>
      <c r="DC30" s="5" t="str">
        <f>VLOOKUP(DB30,$BO$28:$BP$31,2,FALSE)</f>
        <v>Zenit St. Petersburg</v>
      </c>
      <c r="DD30" s="5">
        <v>3</v>
      </c>
      <c r="DE30" s="5" t="str">
        <f>IF(CY30&lt;&gt;"",IF(CX30&lt;CX31,CY30,CY31),IF(DC30&lt;&gt;"",DC30,DA30))</f>
        <v>Zenit St. Petersburg</v>
      </c>
    </row>
    <row r="31" spans="1:109" x14ac:dyDescent="0.2">
      <c r="A31" s="5">
        <f t="shared" si="8"/>
        <v>4</v>
      </c>
      <c r="B31" s="5" t="str">
        <f>'Club Namen'!B30</f>
        <v>APOEL</v>
      </c>
      <c r="C31" s="5">
        <f>SUMPRODUCT((Gruppenphase!$I$13:$I$108&lt;&gt;"")*(Gruppenphase!$K$13:$K$108&lt;&gt;"")*(Gruppenphase!$G$13:$G$108='Dummy Table'!$B31)*(Gruppenphase!$I$13:$I$108&gt;Gruppenphase!$K$13:$K$108))</f>
        <v>0</v>
      </c>
      <c r="D31" s="5">
        <f>SUMPRODUCT((Gruppenphase!$I$13:$I$108&lt;&gt;"")*(Gruppenphase!$K$13:$K$108&lt;&gt;"")*(Gruppenphase!$G$13:$G$108='Dummy Table'!$B31)*(Gruppenphase!$I$13:$I$108=Gruppenphase!$K$13:$K$108))</f>
        <v>0</v>
      </c>
      <c r="E31" s="5">
        <f>SUMPRODUCT((Gruppenphase!$I$13:$I$108&lt;&gt;"")*(Gruppenphase!$K$13:$K$108&lt;&gt;"")*(Gruppenphase!$G$13:$G$108='Dummy Table'!$B31)*(Gruppenphase!$I$13:$I$108&lt;Gruppenphase!$K$13:$K$108))</f>
        <v>0</v>
      </c>
      <c r="F31" s="5">
        <f>SUMIF(Gruppenphase!$G$13:$G$108,'Dummy Table'!$B31,Gruppenphase!$I$13:$I$108)</f>
        <v>0</v>
      </c>
      <c r="G31" s="5">
        <f>SUMIF(Gruppenphase!$G$13:$G$108,'Dummy Table'!$B31,Gruppenphase!$K$13:$K$108)</f>
        <v>0</v>
      </c>
      <c r="H31" s="5">
        <f t="shared" si="9"/>
        <v>0</v>
      </c>
      <c r="I31" s="5">
        <f t="shared" si="10"/>
        <v>0</v>
      </c>
      <c r="J31" s="5">
        <f>SUMPRODUCT((Gruppenphase!$I$13:$I$108&lt;&gt;"")*(Gruppenphase!$K$13:$K$108&lt;&gt;"")*(Gruppenphase!$M$13:$M$108='Dummy Table'!$B31)*(Gruppenphase!$I$13:$I$108&lt;Gruppenphase!$K$13:$K$108))</f>
        <v>0</v>
      </c>
      <c r="K31" s="5">
        <f>SUMPRODUCT((Gruppenphase!$I$13:$I$108&lt;&gt;"")*(Gruppenphase!$K$13:$K$108&lt;&gt;"")*(Gruppenphase!$M$13:$M$108='Dummy Table'!$B31)*(Gruppenphase!$I$13:$I$108=Gruppenphase!$K$13:$K$108))</f>
        <v>0</v>
      </c>
      <c r="L31" s="5">
        <f>SUMPRODUCT((Gruppenphase!$I$13:$I$108&lt;&gt;"")*(Gruppenphase!$K$13:$K$108&lt;&gt;"")*(Gruppenphase!$M$13:$M$108='Dummy Table'!$B31)*(Gruppenphase!$I$13:$I$108&gt;Gruppenphase!$K$13:$K$108))</f>
        <v>0</v>
      </c>
      <c r="M31" s="5">
        <f>SUMIF(Gruppenphase!$M$13:$M$108,'Dummy Table'!$B31,Gruppenphase!$K$13:$K$108)</f>
        <v>0</v>
      </c>
      <c r="N31" s="5">
        <f>SUMIF(Gruppenphase!$M$13:$M$108,'Dummy Table'!$B31,Gruppenphase!$I$13:$I$108)</f>
        <v>0</v>
      </c>
      <c r="O31" s="5">
        <f t="shared" si="11"/>
        <v>0</v>
      </c>
      <c r="P31" s="5">
        <f t="shared" si="12"/>
        <v>0</v>
      </c>
      <c r="Q31" s="5">
        <f t="shared" si="13"/>
        <v>0</v>
      </c>
      <c r="R31" s="5">
        <f t="shared" si="14"/>
        <v>0</v>
      </c>
      <c r="S31" s="5">
        <f t="shared" si="15"/>
        <v>0</v>
      </c>
      <c r="T31" s="5">
        <f t="shared" si="16"/>
        <v>0</v>
      </c>
      <c r="U31" s="5">
        <f t="shared" si="17"/>
        <v>0</v>
      </c>
      <c r="V31" s="5">
        <f t="shared" si="18"/>
        <v>0</v>
      </c>
      <c r="W31" s="5">
        <f t="shared" si="19"/>
        <v>0</v>
      </c>
      <c r="X31" s="5">
        <v>8</v>
      </c>
      <c r="Y31" s="5">
        <f>RANK(W31,W$28:W$31)</f>
        <v>1</v>
      </c>
      <c r="Z31" s="5">
        <f>SUMPRODUCT((W$28:W$31=W31)*(V$28:V$31&gt;V31))</f>
        <v>0</v>
      </c>
      <c r="AA31" s="5">
        <f>SUMPRODUCT((Y$28:Y$31=Y31)*(Z$28:Z$31=Z31)*(T$28:T$31&gt;T31))</f>
        <v>0</v>
      </c>
      <c r="AB31" s="5">
        <f>SUMPRODUCT((Y$28:Y$31=Y31)*(Z$28:Z$31=Z31)*(T$28:T$31=T31)*(X$28:X$31&gt;X31))</f>
        <v>3</v>
      </c>
      <c r="AC31" s="5">
        <v>4</v>
      </c>
      <c r="AD31" s="5" t="str">
        <f>VLOOKUP(AC31,$A$28:$B$31,2,FALSE)</f>
        <v>APOEL</v>
      </c>
      <c r="AE31" s="5">
        <f>VLOOKUP($AD31,$B$28:$W$31,22,FALSE)</f>
        <v>0</v>
      </c>
      <c r="AF31" s="5" t="str">
        <f>IF(AND(AE31=AE30,AE30=AE29),AD31,"")</f>
        <v>APOEL</v>
      </c>
      <c r="AG31" s="5">
        <f>SUMPRODUCT(($BK$4:$BK$99='Dummy Table'!$AF31)*($BL$4:$BL$99&gt;$BM$4:$BM$99))</f>
        <v>0</v>
      </c>
      <c r="AH31" s="5">
        <f>SUMPRODUCT(($BK$4:$BK$99='Dummy Table'!$AF31)*($BL$4:$BL$99=$BM$4:$BM$99))</f>
        <v>0</v>
      </c>
      <c r="AI31" s="5">
        <f>SUMPRODUCT(($BK$4:$BK$99='Dummy Table'!$AF31)*($BL$4:$BL$99&lt;$BM$4:$BM$99))</f>
        <v>0</v>
      </c>
      <c r="AJ31" s="5">
        <f>SUMIF($BK$4:$BK$99,'Dummy Table'!$AF31,$BL$4:$BL$99)</f>
        <v>0</v>
      </c>
      <c r="AK31" s="5">
        <f>SUMIF($BK$4:$BK$99,'Dummy Table'!$AF31,$BM$4:$BM$99)</f>
        <v>0</v>
      </c>
      <c r="AL31" s="5">
        <f t="shared" si="20"/>
        <v>0</v>
      </c>
      <c r="AM31" s="5">
        <f t="shared" si="21"/>
        <v>0</v>
      </c>
      <c r="AN31" s="5">
        <f>SUMPRODUCT(($BN$4:$BN$99='Dummy Table'!$AF31)*($BL$4:$BL$99&lt;$BM$4:$BM$99))</f>
        <v>0</v>
      </c>
      <c r="AO31" s="5">
        <f>SUMPRODUCT(($BN$4:$BN$99='Dummy Table'!$AF31)*($BL$4:$BL$99=$BM$4:$BM$99))</f>
        <v>0</v>
      </c>
      <c r="AP31" s="5">
        <f>SUMPRODUCT(($BN$4:$BN$99='Dummy Table'!$AF31)*($BL$4:$BL$99&gt;$BM$4:$BM$99))</f>
        <v>0</v>
      </c>
      <c r="AQ31" s="5">
        <f>SUMIF($BN$4:$BN$99,'Dummy Table'!$AF31,$BM$4:$BM$99)</f>
        <v>0</v>
      </c>
      <c r="AR31" s="5">
        <f>SUMIF($BN$4:$BN$99,'Dummy Table'!$AF31,$BL$4:$BL$99)</f>
        <v>0</v>
      </c>
      <c r="AS31" s="5">
        <f t="shared" si="22"/>
        <v>0</v>
      </c>
      <c r="AT31" s="5">
        <f t="shared" si="23"/>
        <v>0</v>
      </c>
      <c r="AU31" s="5">
        <f t="shared" si="24"/>
        <v>0</v>
      </c>
      <c r="AV31" s="5">
        <f t="shared" si="25"/>
        <v>0</v>
      </c>
      <c r="AW31" s="5">
        <f t="shared" si="26"/>
        <v>0</v>
      </c>
      <c r="AX31" s="5">
        <f t="shared" si="27"/>
        <v>0</v>
      </c>
      <c r="AY31" s="5">
        <f t="shared" si="28"/>
        <v>0</v>
      </c>
      <c r="AZ31" s="5">
        <f t="shared" si="29"/>
        <v>0</v>
      </c>
      <c r="BA31" s="5">
        <f t="shared" si="41"/>
        <v>0</v>
      </c>
      <c r="BB31" s="5">
        <f t="shared" si="30"/>
        <v>0</v>
      </c>
      <c r="BC31" s="5">
        <f t="shared" si="31"/>
        <v>0</v>
      </c>
      <c r="BD31" s="5">
        <f t="shared" si="32"/>
        <v>8</v>
      </c>
      <c r="BE31" s="75">
        <f>RANK(BA31,BA$28:BA$31)</f>
        <v>1</v>
      </c>
      <c r="BF31" s="75">
        <f>SUMPRODUCT((BA$28:BA$31=BA31)*(AZ$28:AZ$31&gt;AZ31))</f>
        <v>0</v>
      </c>
      <c r="BG31" s="75">
        <f>SUMPRODUCT((BA$28:BA$31=BA31)*(BE$28:BE$31=BE31)*(AZ$28:AZ$31=AZ31)*(AQ$28:AQ$31&gt;AQ31))</f>
        <v>0</v>
      </c>
      <c r="BH31" s="75">
        <f>SUMPRODUCT((BA$28:BA$31=BA31)*(BE$28:BE$31=BE31)*(AZ$28:AZ$31=AZ31)*(AQ$28:AQ$31=AQ31)*(BB$28:BB$31&gt;BB31))</f>
        <v>0</v>
      </c>
      <c r="BI31" s="75">
        <f>SUMPRODUCT((BA$28:BA$31=BA31)*(BE$28:BE$31=BE31)*(AZ$28:AZ$31=AZ31)*(AQ$28:AQ$31=AQ31)*(BB$28:BB$31=BB31)*(BC$28:BC$31&gt;BC31))</f>
        <v>0</v>
      </c>
      <c r="BJ31" s="75">
        <f>SUMPRODUCT((BA$28:BA$31=BA31)*(BE$28:BE$31=BE31)*(AZ$28:AZ$31=AZ31)*(AQ$28:AQ$31=AQ31)*(BB$28:BB$31=BB31)*(BC$28:BC$31=BC31)*(BD$28:BD$31&gt;BD31))</f>
        <v>3</v>
      </c>
      <c r="BK31" s="5" t="str">
        <f>IF(AND(COUNTIF($AF$4:$AF$35,Gruppenphase!G40)&gt;0,COUNTIF($AF$4:$AF$35,Gruppenphase!M40)&gt;0,Gruppenphase!I40&lt;&gt;"",Gruppenphase!K40&lt;&gt;""),Gruppenphase!G40,"")</f>
        <v/>
      </c>
      <c r="BL31" s="5" t="str">
        <f>IF($BK31&lt;&gt;"",Gruppenphase!I40,"")</f>
        <v/>
      </c>
      <c r="BM31" s="5" t="str">
        <f>IF($BK31&lt;&gt;"",Gruppenphase!K40,"")</f>
        <v/>
      </c>
      <c r="BN31" s="5" t="str">
        <f>IF($BK31&lt;&gt;"",Gruppenphase!M40,"")</f>
        <v/>
      </c>
      <c r="BO31" s="5">
        <f t="shared" si="2"/>
        <v>4</v>
      </c>
      <c r="BP31" s="5" t="str">
        <f t="shared" si="33"/>
        <v>APOEL</v>
      </c>
      <c r="BQ31" s="5">
        <f>VLOOKUP($AD31,$B$28:$W$31,22,FALSE)</f>
        <v>0</v>
      </c>
      <c r="BR31" s="5" t="str">
        <f>IF(BR30&lt;&gt;"",AD31,"")</f>
        <v/>
      </c>
      <c r="BS31" s="5">
        <f>SUMPRODUCT(($BK$4:$BK$99='Dummy Table'!$AF31)*($BL$4:$BL$99&gt;$BM$4:$BM$99))</f>
        <v>0</v>
      </c>
      <c r="BT31" s="5">
        <f>SUMPRODUCT(($BK$4:$BK$99='Dummy Table'!$AF31)*($BL$4:$BL$99=$BM$4:$BM$99))</f>
        <v>0</v>
      </c>
      <c r="BU31" s="5">
        <f>SUMPRODUCT(($BK$4:$BK$99='Dummy Table'!$AF31)*($BL$4:$BL$99&lt;$BM$4:$BM$99))</f>
        <v>0</v>
      </c>
      <c r="BV31" s="5">
        <f>SUMIF($BK$4:$BK$99,'Dummy Table'!$AF31,$BL$4:$BL$99)</f>
        <v>0</v>
      </c>
      <c r="BW31" s="5">
        <f>SUMIF($BK$4:$BK$99,'Dummy Table'!$AF31,$BM$4:$BM$99)</f>
        <v>0</v>
      </c>
      <c r="BX31" s="5">
        <f t="shared" si="34"/>
        <v>0</v>
      </c>
      <c r="BY31" s="5" t="str">
        <f t="shared" si="35"/>
        <v/>
      </c>
      <c r="BZ31" s="5">
        <f>SUMPRODUCT(($BN$4:$BN$99='Dummy Table'!$AF31)*($BL$4:$BL$99&lt;$BM$4:$BM$99))</f>
        <v>0</v>
      </c>
      <c r="CA31" s="5">
        <f>SUMPRODUCT(($BN$4:$BN$99='Dummy Table'!$AF31)*($BL$4:$BL$99=$BM$4:$BM$99))</f>
        <v>0</v>
      </c>
      <c r="CB31" s="5">
        <f>SUMPRODUCT(($BN$4:$BN$99='Dummy Table'!$AF31)*($BL$4:$BL$99&gt;$BM$4:$BM$99))</f>
        <v>0</v>
      </c>
      <c r="CC31" s="5">
        <f>SUMIF($BN$4:$BN$99,'Dummy Table'!$AF31,$BM$4:$BM$99)</f>
        <v>0</v>
      </c>
      <c r="CD31" s="5">
        <f>SUMIF($BN$4:$BN$99,'Dummy Table'!$AF31,$BL$4:$BL$99)</f>
        <v>0</v>
      </c>
      <c r="CE31" s="5">
        <f t="shared" si="36"/>
        <v>0</v>
      </c>
      <c r="CF31" s="5" t="str">
        <f t="shared" si="37"/>
        <v/>
      </c>
      <c r="CG31" s="5">
        <f t="shared" si="38"/>
        <v>0</v>
      </c>
      <c r="CH31" s="5">
        <f t="shared" si="3"/>
        <v>0</v>
      </c>
      <c r="CI31" s="5">
        <f t="shared" si="4"/>
        <v>0</v>
      </c>
      <c r="CJ31" s="5">
        <f t="shared" si="5"/>
        <v>0</v>
      </c>
      <c r="CK31" s="5">
        <f t="shared" si="6"/>
        <v>0</v>
      </c>
      <c r="CL31" s="5">
        <f t="shared" si="7"/>
        <v>0</v>
      </c>
      <c r="CM31" s="5">
        <f t="shared" si="42"/>
        <v>-1</v>
      </c>
      <c r="CN31" s="5">
        <v>28</v>
      </c>
      <c r="CO31" s="5">
        <f>RANK(CM31,CM$28:CM$31)</f>
        <v>1</v>
      </c>
      <c r="CP31" s="5">
        <f>SUMPRODUCT((CM$28:CM$31=CM31)*(CO$28:CO$31=CO31)*(CC$28:CC$31&gt;CC31))</f>
        <v>0</v>
      </c>
      <c r="CQ31" s="5">
        <f>SUMPRODUCT((CM$28:CM$31=CM31)*(CL$28:CL$31&gt;CL31))</f>
        <v>0</v>
      </c>
      <c r="CR31" s="5">
        <f>SUMPRODUCT((CO$28:CO$31=CO31)*(CQ$28:CQ$31=CQ31)*(CJ$28:CJ$31&gt;CJ31))</f>
        <v>0</v>
      </c>
      <c r="CS31" s="5">
        <f>SUMPRODUCT((CO$28:CO$31=CO31)*(CQ$28:CQ$31=CQ31)*(CJ$28:CJ$31=CJ31)*(CN$28:CN$31&gt;CN31))</f>
        <v>0</v>
      </c>
      <c r="CT31" s="5" t="str">
        <f>IF(AND(COUNTIF($AF$4:$AF$35,Gruppenphase!$G40)&gt;0,COUNTIF($AF$4:$AF$35,Gruppenphase!$M40)&gt;0),Gruppenphase!$G40,"")</f>
        <v>Arsenal</v>
      </c>
      <c r="CU31" s="5" t="str">
        <f>IF($BK31&lt;&gt;"",Gruppenphase!$I40,"")</f>
        <v/>
      </c>
      <c r="CV31" s="5" t="str">
        <f>IF($BK31&lt;&gt;"",Gruppenphase!$K40,"")</f>
        <v/>
      </c>
      <c r="CW31" s="5" t="str">
        <f>IF($BK31&lt;&gt;"",Gruppenphase!$M40,"")</f>
        <v/>
      </c>
      <c r="CX31" s="5" t="str">
        <f t="shared" si="39"/>
        <v/>
      </c>
      <c r="CY31" s="5" t="str">
        <f t="shared" si="40"/>
        <v/>
      </c>
      <c r="CZ31" s="5">
        <v>4</v>
      </c>
      <c r="DA31" s="5" t="str">
        <f t="shared" si="43"/>
        <v/>
      </c>
      <c r="DB31" s="5">
        <f>IF(AND(DA31="",DA30="",DA29="",DA28=""),4,IF(AND(DA31="",DA30="",DA29=""),3,IF(AND(DA29&lt;&gt;"",DA30="",DA31=""),2,IF(AND(DA29&lt;&gt;"",DA30&lt;&gt;"",DA31=""),1,""))))</f>
        <v>4</v>
      </c>
      <c r="DC31" s="5" t="str">
        <f>VLOOKUP(DB31,$BO$28:$BP$31,2,FALSE)</f>
        <v>APOEL</v>
      </c>
      <c r="DD31" s="5">
        <v>4</v>
      </c>
      <c r="DE31" s="5" t="str">
        <f>IF(CY31&lt;&gt;"",IF(CX30&lt;CX31,CY31,CY30),IF(DC31&lt;&gt;"",DC31,DA31))</f>
        <v>APOEL</v>
      </c>
    </row>
    <row r="32" spans="1:109" x14ac:dyDescent="0.2">
      <c r="A32" s="5">
        <f t="shared" si="8"/>
        <v>1</v>
      </c>
      <c r="B32" s="5" t="str">
        <f>'Club Namen'!B31</f>
        <v>Barcelona</v>
      </c>
      <c r="C32" s="5">
        <f>SUMPRODUCT((Gruppenphase!$I$13:$I$108&lt;&gt;"")*(Gruppenphase!$K$13:$K$108&lt;&gt;"")*(Gruppenphase!$G$13:$G$108='Dummy Table'!$B32)*(Gruppenphase!$I$13:$I$108&gt;Gruppenphase!$K$13:$K$108))</f>
        <v>0</v>
      </c>
      <c r="D32" s="5">
        <f>SUMPRODUCT((Gruppenphase!$I$13:$I$108&lt;&gt;"")*(Gruppenphase!$K$13:$K$108&lt;&gt;"")*(Gruppenphase!$G$13:$G$108='Dummy Table'!$B32)*(Gruppenphase!$I$13:$I$108=Gruppenphase!$K$13:$K$108))</f>
        <v>0</v>
      </c>
      <c r="E32" s="5">
        <f>SUMPRODUCT((Gruppenphase!$I$13:$I$108&lt;&gt;"")*(Gruppenphase!$K$13:$K$108&lt;&gt;"")*(Gruppenphase!$G$13:$G$108='Dummy Table'!$B32)*(Gruppenphase!$I$13:$I$108&lt;Gruppenphase!$K$13:$K$108))</f>
        <v>0</v>
      </c>
      <c r="F32" s="5">
        <f>SUMIF(Gruppenphase!$G$13:$G$108,'Dummy Table'!$B32,Gruppenphase!$I$13:$I$108)</f>
        <v>0</v>
      </c>
      <c r="G32" s="5">
        <f>SUMIF(Gruppenphase!$G$13:$G$108,'Dummy Table'!$B32,Gruppenphase!$K$13:$K$108)</f>
        <v>0</v>
      </c>
      <c r="H32" s="5">
        <f t="shared" si="9"/>
        <v>0</v>
      </c>
      <c r="I32" s="5">
        <f t="shared" si="10"/>
        <v>0</v>
      </c>
      <c r="J32" s="5">
        <f>SUMPRODUCT((Gruppenphase!$I$13:$I$108&lt;&gt;"")*(Gruppenphase!$K$13:$K$108&lt;&gt;"")*(Gruppenphase!$M$13:$M$108='Dummy Table'!$B32)*(Gruppenphase!$I$13:$I$108&lt;Gruppenphase!$K$13:$K$108))</f>
        <v>0</v>
      </c>
      <c r="K32" s="5">
        <f>SUMPRODUCT((Gruppenphase!$I$13:$I$108&lt;&gt;"")*(Gruppenphase!$K$13:$K$108&lt;&gt;"")*(Gruppenphase!$M$13:$M$108='Dummy Table'!$B32)*(Gruppenphase!$I$13:$I$108=Gruppenphase!$K$13:$K$108))</f>
        <v>0</v>
      </c>
      <c r="L32" s="5">
        <f>SUMPRODUCT((Gruppenphase!$I$13:$I$108&lt;&gt;"")*(Gruppenphase!$K$13:$K$108&lt;&gt;"")*(Gruppenphase!$M$13:$M$108='Dummy Table'!$B32)*(Gruppenphase!$I$13:$I$108&gt;Gruppenphase!$K$13:$K$108))</f>
        <v>0</v>
      </c>
      <c r="M32" s="5">
        <f>SUMIF(Gruppenphase!$M$13:$M$108,'Dummy Table'!$B32,Gruppenphase!$K$13:$K$108)</f>
        <v>0</v>
      </c>
      <c r="N32" s="5">
        <f>SUMIF(Gruppenphase!$M$13:$M$108,'Dummy Table'!$B32,Gruppenphase!$I$13:$I$108)</f>
        <v>0</v>
      </c>
      <c r="O32" s="5">
        <f t="shared" si="11"/>
        <v>0</v>
      </c>
      <c r="P32" s="5">
        <f t="shared" si="12"/>
        <v>0</v>
      </c>
      <c r="Q32" s="5">
        <f t="shared" si="13"/>
        <v>0</v>
      </c>
      <c r="R32" s="5">
        <f t="shared" si="14"/>
        <v>0</v>
      </c>
      <c r="S32" s="5">
        <f t="shared" si="15"/>
        <v>0</v>
      </c>
      <c r="T32" s="5">
        <f t="shared" si="16"/>
        <v>0</v>
      </c>
      <c r="U32" s="5">
        <f t="shared" si="17"/>
        <v>0</v>
      </c>
      <c r="V32" s="5">
        <f t="shared" si="18"/>
        <v>0</v>
      </c>
      <c r="W32" s="5">
        <f t="shared" si="19"/>
        <v>0</v>
      </c>
      <c r="X32" s="5">
        <v>106</v>
      </c>
      <c r="Y32" s="5">
        <f>RANK(W32,W$32:W$35)</f>
        <v>1</v>
      </c>
      <c r="Z32" s="5">
        <f>SUMPRODUCT((W$32:W$35=W32)*(V$32:V$35&gt;V32))</f>
        <v>0</v>
      </c>
      <c r="AA32" s="5">
        <f>SUMPRODUCT((Y$32:Y$35=Y32)*(Z$32:Z$35=Z32)*(T$32:T$35&gt;T32))</f>
        <v>0</v>
      </c>
      <c r="AB32" s="5">
        <f>SUMPRODUCT((Y$32:Y$35=Y32)*(Z$32:Z$35=Z32)*(T$32:T$35=T32)*(X$32:X$35&gt;X32))</f>
        <v>0</v>
      </c>
      <c r="AC32" s="5">
        <v>1</v>
      </c>
      <c r="AD32" s="5" t="str">
        <f>VLOOKUP(AC32,$A$32:$B$35,2,FALSE)</f>
        <v>Barcelona</v>
      </c>
      <c r="AE32" s="5">
        <f>VLOOKUP($AD32,$B$32:$W$35,22,FALSE)</f>
        <v>0</v>
      </c>
      <c r="AF32" s="5" t="str">
        <f>IF(AE32=AE33,AD32,"")</f>
        <v>Barcelona</v>
      </c>
      <c r="AG32" s="5">
        <f>SUMPRODUCT(($BK$4:$BK$99='Dummy Table'!$AF32)*($BL$4:$BL$99&gt;$BM$4:$BM$99))</f>
        <v>0</v>
      </c>
      <c r="AH32" s="5">
        <f>SUMPRODUCT(($BK$4:$BK$99='Dummy Table'!$AF32)*($BL$4:$BL$99=$BM$4:$BM$99))</f>
        <v>0</v>
      </c>
      <c r="AI32" s="5">
        <f>SUMPRODUCT(($BK$4:$BK$99='Dummy Table'!$AF32)*($BL$4:$BL$99&lt;$BM$4:$BM$99))</f>
        <v>0</v>
      </c>
      <c r="AJ32" s="5">
        <f>SUMIF($BK$4:$BK$99,'Dummy Table'!$AF32,$BL$4:$BL$99)</f>
        <v>0</v>
      </c>
      <c r="AK32" s="5">
        <f>SUMIF($BK$4:$BK$99,'Dummy Table'!$AF32,$BM$4:$BM$99)</f>
        <v>0</v>
      </c>
      <c r="AL32" s="5">
        <f t="shared" si="20"/>
        <v>0</v>
      </c>
      <c r="AM32" s="5">
        <f t="shared" si="21"/>
        <v>0</v>
      </c>
      <c r="AN32" s="5">
        <f>SUMPRODUCT(($BN$4:$BN$99='Dummy Table'!$AF32)*($BL$4:$BL$99&lt;$BM$4:$BM$99))</f>
        <v>0</v>
      </c>
      <c r="AO32" s="5">
        <f>SUMPRODUCT(($BN$4:$BN$99='Dummy Table'!$AF32)*($BL$4:$BL$99=$BM$4:$BM$99))</f>
        <v>0</v>
      </c>
      <c r="AP32" s="5">
        <f>SUMPRODUCT(($BN$4:$BN$99='Dummy Table'!$AF32)*($BL$4:$BL$99&gt;$BM$4:$BM$99))</f>
        <v>0</v>
      </c>
      <c r="AQ32" s="5">
        <f>SUMIF($BN$4:$BN$99,'Dummy Table'!$AF32,$BM$4:$BM$99)</f>
        <v>0</v>
      </c>
      <c r="AR32" s="5">
        <f>SUMIF($BN$4:$BN$99,'Dummy Table'!$AF32,$BL$4:$BL$99)</f>
        <v>0</v>
      </c>
      <c r="AS32" s="5">
        <f t="shared" si="22"/>
        <v>0</v>
      </c>
      <c r="AT32" s="5">
        <f t="shared" si="23"/>
        <v>0</v>
      </c>
      <c r="AU32" s="5">
        <f t="shared" si="24"/>
        <v>0</v>
      </c>
      <c r="AV32" s="5">
        <f t="shared" si="25"/>
        <v>0</v>
      </c>
      <c r="AW32" s="5">
        <f t="shared" si="26"/>
        <v>0</v>
      </c>
      <c r="AX32" s="5">
        <f t="shared" si="27"/>
        <v>0</v>
      </c>
      <c r="AY32" s="5">
        <f t="shared" si="28"/>
        <v>0</v>
      </c>
      <c r="AZ32" s="5">
        <f t="shared" si="29"/>
        <v>0</v>
      </c>
      <c r="BA32" s="5">
        <f t="shared" si="41"/>
        <v>0</v>
      </c>
      <c r="BB32" s="5">
        <f t="shared" si="30"/>
        <v>0</v>
      </c>
      <c r="BC32" s="5">
        <f t="shared" si="31"/>
        <v>0</v>
      </c>
      <c r="BD32" s="5">
        <f t="shared" si="32"/>
        <v>106</v>
      </c>
      <c r="BE32" s="75">
        <f>RANK(BA32,BA$32:BA$35)</f>
        <v>1</v>
      </c>
      <c r="BF32" s="75">
        <f>SUMPRODUCT((BA$32:BA$35=BA32)*(AZ$32:AZ$35&gt;AZ32))</f>
        <v>0</v>
      </c>
      <c r="BG32" s="75">
        <f>SUMPRODUCT((BA$32:BA$35=BA32)*(BE$32:BE$35=BE32)*(AZ$32:AZ$35=AZ32)*(AQ$32:AQ$35&gt;AQ32))</f>
        <v>0</v>
      </c>
      <c r="BH32" s="75">
        <f>SUMPRODUCT((BA$32:BA$35=BA32)*(BE$32:BE$35=BE32)*(AZ$32:AZ$35=AZ32)*(AQ$32:AQ$35=AQ32)*(BB$32:BB$35&gt;BB32))</f>
        <v>0</v>
      </c>
      <c r="BI32" s="75">
        <f>SUMPRODUCT((BA$32:BA$35=BA32)*(BE$32:BE$35=BE32)*(AZ$32:AZ$35=AZ32)*(AQ$32:AQ$35=AQ32)*(BB$32:BB$35=BB32)*(BC$32:BC$35&gt;BC32))</f>
        <v>0</v>
      </c>
      <c r="BJ32" s="75">
        <f>SUMPRODUCT((BA$32:BA$35=BA32)*(BE$32:BE$35=BE32)*(AZ$32:AZ$35=AZ32)*(AQ$32:AQ$35=AQ32)*(BB$32:BB$35=BB32)*(BC$32:BC$35=BC32)*(BD$32:BD$35&gt;BD32))</f>
        <v>0</v>
      </c>
      <c r="BK32" s="5" t="str">
        <f>IF(AND(COUNTIF($AF$4:$AF$35,Gruppenphase!G41)&gt;0,COUNTIF($AF$4:$AF$35,Gruppenphase!M41)&gt;0,Gruppenphase!I41&lt;&gt;"",Gruppenphase!K41&lt;&gt;""),Gruppenphase!G41,"")</f>
        <v/>
      </c>
      <c r="BL32" s="5" t="str">
        <f>IF($BK32&lt;&gt;"",Gruppenphase!I41,"")</f>
        <v/>
      </c>
      <c r="BM32" s="5" t="str">
        <f>IF($BK32&lt;&gt;"",Gruppenphase!K41,"")</f>
        <v/>
      </c>
      <c r="BN32" s="5" t="str">
        <f>IF($BK32&lt;&gt;"",Gruppenphase!M41,"")</f>
        <v/>
      </c>
      <c r="BO32" s="5">
        <f t="shared" si="2"/>
        <v>1</v>
      </c>
      <c r="BP32" s="5" t="str">
        <f t="shared" si="33"/>
        <v>Barcelona</v>
      </c>
      <c r="BQ32" s="5">
        <f>VLOOKUP($AD32,$B$32:$W$35,22,FALSE)</f>
        <v>0</v>
      </c>
      <c r="BS32" s="5">
        <f>SUMPRODUCT(($BK$4:$BK$99='Dummy Table'!$AF32)*($BL$4:$BL$99&gt;$BM$4:$BM$99))</f>
        <v>0</v>
      </c>
      <c r="BT32" s="5">
        <f>SUMPRODUCT(($BK$4:$BK$99='Dummy Table'!$AF32)*($BL$4:$BL$99=$BM$4:$BM$99))</f>
        <v>0</v>
      </c>
      <c r="BU32" s="5">
        <f>SUMPRODUCT(($BK$4:$BK$99='Dummy Table'!$AF32)*($BL$4:$BL$99&lt;$BM$4:$BM$99))</f>
        <v>0</v>
      </c>
      <c r="BV32" s="5">
        <f>SUMIF($BK$4:$BK$99,'Dummy Table'!$AF32,$BL$4:$BL$99)</f>
        <v>0</v>
      </c>
      <c r="BW32" s="5">
        <f>SUMIF($BK$4:$BK$99,'Dummy Table'!$AF32,$BM$4:$BM$99)</f>
        <v>0</v>
      </c>
      <c r="BX32" s="5">
        <f t="shared" si="34"/>
        <v>0</v>
      </c>
      <c r="BY32" s="5" t="str">
        <f t="shared" si="35"/>
        <v/>
      </c>
      <c r="BZ32" s="5">
        <f>SUMPRODUCT(($BN$4:$BN$99='Dummy Table'!$AF32)*($BL$4:$BL$99&lt;$BM$4:$BM$99))</f>
        <v>0</v>
      </c>
      <c r="CA32" s="5">
        <f>SUMPRODUCT(($BN$4:$BN$99='Dummy Table'!$AF32)*($BL$4:$BL$99=$BM$4:$BM$99))</f>
        <v>0</v>
      </c>
      <c r="CB32" s="5">
        <f>SUMPRODUCT(($BN$4:$BN$99='Dummy Table'!$AF32)*($BL$4:$BL$99&gt;$BM$4:$BM$99))</f>
        <v>0</v>
      </c>
      <c r="CC32" s="5">
        <f>SUMIF($BN$4:$BN$99,'Dummy Table'!$AF32,$BM$4:$BM$99)</f>
        <v>0</v>
      </c>
      <c r="CD32" s="5">
        <f>SUMIF($BN$4:$BN$99,'Dummy Table'!$AF32,$BL$4:$BL$99)</f>
        <v>0</v>
      </c>
      <c r="CE32" s="5">
        <f t="shared" si="36"/>
        <v>0</v>
      </c>
      <c r="CF32" s="5" t="str">
        <f t="shared" si="37"/>
        <v/>
      </c>
      <c r="CG32" s="5">
        <f t="shared" si="38"/>
        <v>0</v>
      </c>
      <c r="CH32" s="5">
        <f t="shared" si="3"/>
        <v>0</v>
      </c>
      <c r="CI32" s="5">
        <f t="shared" si="4"/>
        <v>0</v>
      </c>
      <c r="CJ32" s="5">
        <f t="shared" si="5"/>
        <v>0</v>
      </c>
      <c r="CK32" s="5">
        <f t="shared" si="6"/>
        <v>0</v>
      </c>
      <c r="CL32" s="5">
        <f t="shared" si="7"/>
        <v>0</v>
      </c>
      <c r="CM32" s="5">
        <f t="shared" si="42"/>
        <v>-1</v>
      </c>
      <c r="CN32" s="5">
        <v>29</v>
      </c>
      <c r="CO32" s="5">
        <f>RANK(CM32,CM$32:CM$35)</f>
        <v>1</v>
      </c>
      <c r="CP32" s="5">
        <f>SUMPRODUCT((CM$32:CM$35=CM32)*(CO$32:CO$35=CO32)*(CC$32:CC$35&gt;CC32))</f>
        <v>0</v>
      </c>
      <c r="CQ32" s="5">
        <f>SUMPRODUCT((CM$32:CM$35=CM32)*(CL$32:CL$35&gt;CL32))</f>
        <v>0</v>
      </c>
      <c r="CR32" s="5">
        <f>SUMPRODUCT((CO$32:CO$35=CO32)*(CQ$32:CQ$35=CQ32)*(CJ$32:CJ$35&gt;CJ32))</f>
        <v>0</v>
      </c>
      <c r="CS32" s="5">
        <f>SUMPRODUCT((CO$32:CO$35=CO32)*(CQ$32:CQ$35=CQ32)*(CJ$32:CJ$35=CJ32)*(CN$32:CN$35&gt;CN32))</f>
        <v>3</v>
      </c>
      <c r="CT32" s="5" t="str">
        <f>IF(AND(COUNTIF($AF$4:$AF$35,Gruppenphase!$G41)&gt;0,COUNTIF($AF$4:$AF$35,Gruppenphase!$M41)&gt;0),Gruppenphase!$G41,"")</f>
        <v>Marseille</v>
      </c>
      <c r="CU32" s="5" t="str">
        <f>IF($BK32&lt;&gt;"",Gruppenphase!$I41,"")</f>
        <v/>
      </c>
      <c r="CV32" s="5" t="str">
        <f>IF($BK32&lt;&gt;"",Gruppenphase!$K41,"")</f>
        <v/>
      </c>
      <c r="CW32" s="5" t="str">
        <f>IF($BK32&lt;&gt;"",Gruppenphase!$M41,"")</f>
        <v/>
      </c>
      <c r="CX32" s="5" t="str">
        <f t="shared" si="39"/>
        <v/>
      </c>
      <c r="CY32" s="5" t="str">
        <f t="shared" si="40"/>
        <v/>
      </c>
      <c r="CZ32" s="5">
        <v>1</v>
      </c>
      <c r="DA32" s="5" t="str">
        <f t="shared" si="43"/>
        <v/>
      </c>
      <c r="DB32" s="5">
        <f>IF(DA32="",CZ32,"")</f>
        <v>1</v>
      </c>
      <c r="DC32" s="5" t="str">
        <f>VLOOKUP(DB32,$BO$32:$BP$35,2,FALSE)</f>
        <v>Barcelona</v>
      </c>
      <c r="DD32" s="5">
        <v>1</v>
      </c>
      <c r="DE32" s="5" t="str">
        <f>IF(DA32="",DC32,DA32)</f>
        <v>Barcelona</v>
      </c>
    </row>
    <row r="33" spans="1:109" x14ac:dyDescent="0.2">
      <c r="A33" s="5">
        <f t="shared" si="8"/>
        <v>2</v>
      </c>
      <c r="B33" s="5" t="str">
        <f>'Club Namen'!B32</f>
        <v>AC Milan</v>
      </c>
      <c r="C33" s="5">
        <f>SUMPRODUCT((Gruppenphase!$I$13:$I$108&lt;&gt;"")*(Gruppenphase!$K$13:$K$108&lt;&gt;"")*(Gruppenphase!$G$13:$G$108='Dummy Table'!$B33)*(Gruppenphase!$I$13:$I$108&gt;Gruppenphase!$K$13:$K$108))</f>
        <v>0</v>
      </c>
      <c r="D33" s="5">
        <f>SUMPRODUCT((Gruppenphase!$I$13:$I$108&lt;&gt;"")*(Gruppenphase!$K$13:$K$108&lt;&gt;"")*(Gruppenphase!$G$13:$G$108='Dummy Table'!$B33)*(Gruppenphase!$I$13:$I$108=Gruppenphase!$K$13:$K$108))</f>
        <v>0</v>
      </c>
      <c r="E33" s="5">
        <f>SUMPRODUCT((Gruppenphase!$I$13:$I$108&lt;&gt;"")*(Gruppenphase!$K$13:$K$108&lt;&gt;"")*(Gruppenphase!$G$13:$G$108='Dummy Table'!$B33)*(Gruppenphase!$I$13:$I$108&lt;Gruppenphase!$K$13:$K$108))</f>
        <v>0</v>
      </c>
      <c r="F33" s="5">
        <f>SUMIF(Gruppenphase!$G$13:$G$108,'Dummy Table'!$B33,Gruppenphase!$I$13:$I$108)</f>
        <v>0</v>
      </c>
      <c r="G33" s="5">
        <f>SUMIF(Gruppenphase!$G$13:$G$108,'Dummy Table'!$B33,Gruppenphase!$K$13:$K$108)</f>
        <v>0</v>
      </c>
      <c r="H33" s="5">
        <f t="shared" si="9"/>
        <v>0</v>
      </c>
      <c r="I33" s="5">
        <f t="shared" si="10"/>
        <v>0</v>
      </c>
      <c r="J33" s="5">
        <f>SUMPRODUCT((Gruppenphase!$I$13:$I$108&lt;&gt;"")*(Gruppenphase!$K$13:$K$108&lt;&gt;"")*(Gruppenphase!$M$13:$M$108='Dummy Table'!$B33)*(Gruppenphase!$I$13:$I$108&lt;Gruppenphase!$K$13:$K$108))</f>
        <v>0</v>
      </c>
      <c r="K33" s="5">
        <f>SUMPRODUCT((Gruppenphase!$I$13:$I$108&lt;&gt;"")*(Gruppenphase!$K$13:$K$108&lt;&gt;"")*(Gruppenphase!$M$13:$M$108='Dummy Table'!$B33)*(Gruppenphase!$I$13:$I$108=Gruppenphase!$K$13:$K$108))</f>
        <v>0</v>
      </c>
      <c r="L33" s="5">
        <f>SUMPRODUCT((Gruppenphase!$I$13:$I$108&lt;&gt;"")*(Gruppenphase!$K$13:$K$108&lt;&gt;"")*(Gruppenphase!$M$13:$M$108='Dummy Table'!$B33)*(Gruppenphase!$I$13:$I$108&gt;Gruppenphase!$K$13:$K$108))</f>
        <v>0</v>
      </c>
      <c r="M33" s="5">
        <f>SUMIF(Gruppenphase!$M$13:$M$108,'Dummy Table'!$B33,Gruppenphase!$K$13:$K$108)</f>
        <v>0</v>
      </c>
      <c r="N33" s="5">
        <f>SUMIF(Gruppenphase!$M$13:$M$108,'Dummy Table'!$B33,Gruppenphase!$I$13:$I$108)</f>
        <v>0</v>
      </c>
      <c r="O33" s="5">
        <f t="shared" si="11"/>
        <v>0</v>
      </c>
      <c r="P33" s="5">
        <f t="shared" si="12"/>
        <v>0</v>
      </c>
      <c r="Q33" s="5">
        <f t="shared" si="13"/>
        <v>0</v>
      </c>
      <c r="R33" s="5">
        <f t="shared" si="14"/>
        <v>0</v>
      </c>
      <c r="S33" s="5">
        <f t="shared" si="15"/>
        <v>0</v>
      </c>
      <c r="T33" s="5">
        <f t="shared" si="16"/>
        <v>0</v>
      </c>
      <c r="U33" s="5">
        <f t="shared" si="17"/>
        <v>0</v>
      </c>
      <c r="V33" s="5">
        <f t="shared" si="18"/>
        <v>0</v>
      </c>
      <c r="W33" s="5">
        <f t="shared" si="19"/>
        <v>0</v>
      </c>
      <c r="X33" s="5">
        <v>64</v>
      </c>
      <c r="Y33" s="5">
        <f>RANK(W33,W$32:W$35)</f>
        <v>1</v>
      </c>
      <c r="Z33" s="5">
        <f>SUMPRODUCT((W$32:W$35=W33)*(V$32:V$35&gt;V33))</f>
        <v>0</v>
      </c>
      <c r="AA33" s="5">
        <f>SUMPRODUCT((Y$32:Y$35=Y33)*(Z$32:Z$35=Z33)*(T$32:T$35&gt;T33))</f>
        <v>0</v>
      </c>
      <c r="AB33" s="5">
        <f>SUMPRODUCT((Y$32:Y$35=Y33)*(Z$32:Z$35=Z33)*(T$32:T$35=T33)*(X$32:X$35&gt;X33))</f>
        <v>1</v>
      </c>
      <c r="AC33" s="5">
        <v>2</v>
      </c>
      <c r="AD33" s="5" t="str">
        <f>VLOOKUP(AC33,$A$32:$B$35,2,FALSE)</f>
        <v>AC Milan</v>
      </c>
      <c r="AE33" s="5">
        <f>VLOOKUP($AD33,$B$32:$W$35,22,FALSE)</f>
        <v>0</v>
      </c>
      <c r="AF33" s="5" t="str">
        <f>IF(OR(AE33=AE32,AE33=AE34),AD33,"")</f>
        <v>AC Milan</v>
      </c>
      <c r="AG33" s="5">
        <f>SUMPRODUCT(($BK$4:$BK$99='Dummy Table'!$AF33)*($BL$4:$BL$99&gt;$BM$4:$BM$99))</f>
        <v>0</v>
      </c>
      <c r="AH33" s="5">
        <f>SUMPRODUCT(($BK$4:$BK$99='Dummy Table'!$AF33)*($BL$4:$BL$99=$BM$4:$BM$99))</f>
        <v>0</v>
      </c>
      <c r="AI33" s="5">
        <f>SUMPRODUCT(($BK$4:$BK$99='Dummy Table'!$AF33)*($BL$4:$BL$99&lt;$BM$4:$BM$99))</f>
        <v>0</v>
      </c>
      <c r="AJ33" s="5">
        <f>SUMIF($BK$4:$BK$99,'Dummy Table'!$AF33,$BL$4:$BL$99)</f>
        <v>0</v>
      </c>
      <c r="AK33" s="5">
        <f>SUMIF($BK$4:$BK$99,'Dummy Table'!$AF33,$BM$4:$BM$99)</f>
        <v>0</v>
      </c>
      <c r="AL33" s="5">
        <f t="shared" si="20"/>
        <v>0</v>
      </c>
      <c r="AM33" s="5">
        <f t="shared" si="21"/>
        <v>0</v>
      </c>
      <c r="AN33" s="5">
        <f>SUMPRODUCT(($BN$4:$BN$99='Dummy Table'!$AF33)*($BL$4:$BL$99&lt;$BM$4:$BM$99))</f>
        <v>0</v>
      </c>
      <c r="AO33" s="5">
        <f>SUMPRODUCT(($BN$4:$BN$99='Dummy Table'!$AF33)*($BL$4:$BL$99=$BM$4:$BM$99))</f>
        <v>0</v>
      </c>
      <c r="AP33" s="5">
        <f>SUMPRODUCT(($BN$4:$BN$99='Dummy Table'!$AF33)*($BL$4:$BL$99&gt;$BM$4:$BM$99))</f>
        <v>0</v>
      </c>
      <c r="AQ33" s="5">
        <f>SUMIF($BN$4:$BN$99,'Dummy Table'!$AF33,$BM$4:$BM$99)</f>
        <v>0</v>
      </c>
      <c r="AR33" s="5">
        <f>SUMIF($BN$4:$BN$99,'Dummy Table'!$AF33,$BL$4:$BL$99)</f>
        <v>0</v>
      </c>
      <c r="AS33" s="5">
        <f t="shared" si="22"/>
        <v>0</v>
      </c>
      <c r="AT33" s="5">
        <f t="shared" si="23"/>
        <v>0</v>
      </c>
      <c r="AU33" s="5">
        <f t="shared" si="24"/>
        <v>0</v>
      </c>
      <c r="AV33" s="5">
        <f t="shared" si="25"/>
        <v>0</v>
      </c>
      <c r="AW33" s="5">
        <f t="shared" si="26"/>
        <v>0</v>
      </c>
      <c r="AX33" s="5">
        <f t="shared" si="27"/>
        <v>0</v>
      </c>
      <c r="AY33" s="5">
        <f t="shared" si="28"/>
        <v>0</v>
      </c>
      <c r="AZ33" s="5">
        <f t="shared" si="29"/>
        <v>0</v>
      </c>
      <c r="BA33" s="5">
        <f t="shared" si="41"/>
        <v>0</v>
      </c>
      <c r="BB33" s="5">
        <f t="shared" si="30"/>
        <v>0</v>
      </c>
      <c r="BC33" s="5">
        <f t="shared" si="31"/>
        <v>0</v>
      </c>
      <c r="BD33" s="5">
        <f t="shared" si="32"/>
        <v>64</v>
      </c>
      <c r="BE33" s="75">
        <f>RANK(BA33,BA$32:BA$35)</f>
        <v>1</v>
      </c>
      <c r="BF33" s="75">
        <f>SUMPRODUCT((BA$32:BA$35=BA33)*(AZ$32:AZ$35&gt;AZ33))</f>
        <v>0</v>
      </c>
      <c r="BG33" s="75">
        <f>SUMPRODUCT((BA$32:BA$35=BA33)*(BE$32:BE$35=BE33)*(AZ$32:AZ$35=AZ33)*(AQ$32:AQ$35&gt;AQ33))</f>
        <v>0</v>
      </c>
      <c r="BH33" s="75">
        <f>SUMPRODUCT((BA$32:BA$35=BA33)*(BE$32:BE$35=BE33)*(AZ$32:AZ$35=AZ33)*(AQ$32:AQ$35=AQ33)*(BB$32:BB$35&gt;BB33))</f>
        <v>0</v>
      </c>
      <c r="BI33" s="75">
        <f>SUMPRODUCT((BA$32:BA$35=BA33)*(BE$32:BE$35=BE33)*(AZ$32:AZ$35=AZ33)*(AQ$32:AQ$35=AQ33)*(BB$32:BB$35=BB33)*(BC$32:BC$35&gt;BC33))</f>
        <v>0</v>
      </c>
      <c r="BJ33" s="75">
        <f>SUMPRODUCT((BA$32:BA$35=BA33)*(BE$32:BE$35=BE33)*(AZ$32:AZ$35=AZ33)*(AQ$32:AQ$35=AQ33)*(BB$32:BB$35=BB33)*(BC$32:BC$35=BC33)*(BD$32:BD$35&gt;BD33))</f>
        <v>1</v>
      </c>
      <c r="BK33" s="5" t="str">
        <f>IF(AND(COUNTIF($AF$4:$AF$35,Gruppenphase!G42)&gt;0,COUNTIF($AF$4:$AF$35,Gruppenphase!M42)&gt;0,Gruppenphase!I42&lt;&gt;"",Gruppenphase!K42&lt;&gt;""),Gruppenphase!G42,"")</f>
        <v/>
      </c>
      <c r="BL33" s="5" t="str">
        <f>IF($BK33&lt;&gt;"",Gruppenphase!I42,"")</f>
        <v/>
      </c>
      <c r="BM33" s="5" t="str">
        <f>IF($BK33&lt;&gt;"",Gruppenphase!K42,"")</f>
        <v/>
      </c>
      <c r="BN33" s="5" t="str">
        <f>IF($BK33&lt;&gt;"",Gruppenphase!M42,"")</f>
        <v/>
      </c>
      <c r="BO33" s="5">
        <f t="shared" si="2"/>
        <v>2</v>
      </c>
      <c r="BP33" s="5" t="str">
        <f t="shared" si="33"/>
        <v>AC Milan</v>
      </c>
      <c r="BQ33" s="5">
        <f>VLOOKUP($AD33,$B$32:$W$35,22,FALSE)</f>
        <v>0</v>
      </c>
      <c r="BS33" s="5">
        <f>SUMPRODUCT(($BK$4:$BK$99='Dummy Table'!$AF33)*($BL$4:$BL$99&gt;$BM$4:$BM$99))</f>
        <v>0</v>
      </c>
      <c r="BT33" s="5">
        <f>SUMPRODUCT(($BK$4:$BK$99='Dummy Table'!$AF33)*($BL$4:$BL$99=$BM$4:$BM$99))</f>
        <v>0</v>
      </c>
      <c r="BU33" s="5">
        <f>SUMPRODUCT(($BK$4:$BK$99='Dummy Table'!$AF33)*($BL$4:$BL$99&lt;$BM$4:$BM$99))</f>
        <v>0</v>
      </c>
      <c r="BV33" s="5">
        <f>SUMIF($BK$4:$BK$99,'Dummy Table'!$AF33,$BL$4:$BL$99)</f>
        <v>0</v>
      </c>
      <c r="BW33" s="5">
        <f>SUMIF($BK$4:$BK$99,'Dummy Table'!$AF33,$BM$4:$BM$99)</f>
        <v>0</v>
      </c>
      <c r="BX33" s="5">
        <f t="shared" si="34"/>
        <v>0</v>
      </c>
      <c r="BY33" s="5" t="str">
        <f t="shared" si="35"/>
        <v/>
      </c>
      <c r="BZ33" s="5">
        <f>SUMPRODUCT(($BN$4:$BN$99='Dummy Table'!$AF33)*($BL$4:$BL$99&lt;$BM$4:$BM$99))</f>
        <v>0</v>
      </c>
      <c r="CA33" s="5">
        <f>SUMPRODUCT(($BN$4:$BN$99='Dummy Table'!$AF33)*($BL$4:$BL$99=$BM$4:$BM$99))</f>
        <v>0</v>
      </c>
      <c r="CB33" s="5">
        <f>SUMPRODUCT(($BN$4:$BN$99='Dummy Table'!$AF33)*($BL$4:$BL$99&gt;$BM$4:$BM$99))</f>
        <v>0</v>
      </c>
      <c r="CC33" s="5">
        <f>SUMIF($BN$4:$BN$99,'Dummy Table'!$AF33,$BM$4:$BM$99)</f>
        <v>0</v>
      </c>
      <c r="CD33" s="5">
        <f>SUMIF($BN$4:$BN$99,'Dummy Table'!$AF33,$BL$4:$BL$99)</f>
        <v>0</v>
      </c>
      <c r="CE33" s="5">
        <f t="shared" si="36"/>
        <v>0</v>
      </c>
      <c r="CF33" s="5" t="str">
        <f t="shared" si="37"/>
        <v/>
      </c>
      <c r="CG33" s="5">
        <f t="shared" si="38"/>
        <v>0</v>
      </c>
      <c r="CH33" s="5">
        <f t="shared" si="3"/>
        <v>0</v>
      </c>
      <c r="CI33" s="5">
        <f t="shared" si="4"/>
        <v>0</v>
      </c>
      <c r="CJ33" s="5">
        <f t="shared" si="5"/>
        <v>0</v>
      </c>
      <c r="CK33" s="5">
        <f t="shared" si="6"/>
        <v>0</v>
      </c>
      <c r="CL33" s="5">
        <f t="shared" si="7"/>
        <v>0</v>
      </c>
      <c r="CM33" s="5">
        <f t="shared" si="42"/>
        <v>-1</v>
      </c>
      <c r="CN33" s="5">
        <v>30</v>
      </c>
      <c r="CO33" s="5">
        <f>RANK(CM33,CM$32:CM$35)</f>
        <v>1</v>
      </c>
      <c r="CP33" s="5">
        <f>SUMPRODUCT((CM$32:CM$35=CM33)*(CO$32:CO$35=CO33)*(CC$32:CC$35&gt;CC33))</f>
        <v>0</v>
      </c>
      <c r="CQ33" s="5">
        <f>SUMPRODUCT((CM$32:CM$35=CM33)*(CL$32:CL$35&gt;CL33))</f>
        <v>0</v>
      </c>
      <c r="CR33" s="5">
        <f>SUMPRODUCT((CO$32:CO$35=CO33)*(CQ$32:CQ$35=CQ33)*(CJ$32:CJ$35&gt;CJ33))</f>
        <v>0</v>
      </c>
      <c r="CS33" s="5">
        <f>SUMPRODUCT((CO$32:CO$35=CO33)*(CQ$32:CQ$35=CQ33)*(CJ$32:CJ$35=CJ33)*(CN$32:CN$35&gt;CN33))</f>
        <v>2</v>
      </c>
      <c r="CT33" s="5" t="str">
        <f>IF(AND(COUNTIF($AF$4:$AF$35,Gruppenphase!$G42)&gt;0,COUNTIF($AF$4:$AF$35,Gruppenphase!$M42)&gt;0),Gruppenphase!$G42,"")</f>
        <v>Shakhtar Donetsk</v>
      </c>
      <c r="CU33" s="5" t="str">
        <f>IF($BK33&lt;&gt;"",Gruppenphase!$I42,"")</f>
        <v/>
      </c>
      <c r="CV33" s="5" t="str">
        <f>IF($BK33&lt;&gt;"",Gruppenphase!$K42,"")</f>
        <v/>
      </c>
      <c r="CW33" s="5" t="str">
        <f>IF($BK33&lt;&gt;"",Gruppenphase!$M42,"")</f>
        <v/>
      </c>
      <c r="CX33" s="5" t="str">
        <f t="shared" si="39"/>
        <v/>
      </c>
      <c r="CY33" s="5" t="str">
        <f t="shared" si="40"/>
        <v/>
      </c>
      <c r="CZ33" s="5">
        <v>2</v>
      </c>
      <c r="DA33" s="5" t="str">
        <f t="shared" si="43"/>
        <v/>
      </c>
      <c r="DB33" s="5">
        <f>IF(AND(DA33="",DA32=""),CZ33,IF(AND(DA32&lt;&gt;"",DA33=""),1,""))</f>
        <v>2</v>
      </c>
      <c r="DC33" s="5" t="str">
        <f>VLOOKUP(DB33,$BO$32:$BP$35,2,FALSE)</f>
        <v>AC Milan</v>
      </c>
      <c r="DD33" s="5">
        <v>2</v>
      </c>
      <c r="DE33" s="5" t="str">
        <f>IF(DA33="",DC33,DA33)</f>
        <v>AC Milan</v>
      </c>
    </row>
    <row r="34" spans="1:109" x14ac:dyDescent="0.2">
      <c r="A34" s="5">
        <f t="shared" si="8"/>
        <v>3</v>
      </c>
      <c r="B34" s="5" t="str">
        <f>'Club Namen'!B33</f>
        <v>Bate Borisov</v>
      </c>
      <c r="C34" s="5">
        <f>SUMPRODUCT((Gruppenphase!$I$13:$I$108&lt;&gt;"")*(Gruppenphase!$K$13:$K$108&lt;&gt;"")*(Gruppenphase!$G$13:$G$108='Dummy Table'!$B34)*(Gruppenphase!$I$13:$I$108&gt;Gruppenphase!$K$13:$K$108))</f>
        <v>0</v>
      </c>
      <c r="D34" s="5">
        <f>SUMPRODUCT((Gruppenphase!$I$13:$I$108&lt;&gt;"")*(Gruppenphase!$K$13:$K$108&lt;&gt;"")*(Gruppenphase!$G$13:$G$108='Dummy Table'!$B34)*(Gruppenphase!$I$13:$I$108=Gruppenphase!$K$13:$K$108))</f>
        <v>0</v>
      </c>
      <c r="E34" s="5">
        <f>SUMPRODUCT((Gruppenphase!$I$13:$I$108&lt;&gt;"")*(Gruppenphase!$K$13:$K$108&lt;&gt;"")*(Gruppenphase!$G$13:$G$108='Dummy Table'!$B34)*(Gruppenphase!$I$13:$I$108&lt;Gruppenphase!$K$13:$K$108))</f>
        <v>0</v>
      </c>
      <c r="F34" s="5">
        <f>SUMIF(Gruppenphase!$G$13:$G$108,'Dummy Table'!$B34,Gruppenphase!$I$13:$I$108)</f>
        <v>0</v>
      </c>
      <c r="G34" s="5">
        <f>SUMIF(Gruppenphase!$G$13:$G$108,'Dummy Table'!$B34,Gruppenphase!$K$13:$K$108)</f>
        <v>0</v>
      </c>
      <c r="H34" s="5">
        <f t="shared" si="9"/>
        <v>0</v>
      </c>
      <c r="I34" s="5">
        <f t="shared" si="10"/>
        <v>0</v>
      </c>
      <c r="J34" s="5">
        <f>SUMPRODUCT((Gruppenphase!$I$13:$I$108&lt;&gt;"")*(Gruppenphase!$K$13:$K$108&lt;&gt;"")*(Gruppenphase!$M$13:$M$108='Dummy Table'!$B34)*(Gruppenphase!$I$13:$I$108&lt;Gruppenphase!$K$13:$K$108))</f>
        <v>0</v>
      </c>
      <c r="K34" s="5">
        <f>SUMPRODUCT((Gruppenphase!$I$13:$I$108&lt;&gt;"")*(Gruppenphase!$K$13:$K$108&lt;&gt;"")*(Gruppenphase!$M$13:$M$108='Dummy Table'!$B34)*(Gruppenphase!$I$13:$I$108=Gruppenphase!$K$13:$K$108))</f>
        <v>0</v>
      </c>
      <c r="L34" s="5">
        <f>SUMPRODUCT((Gruppenphase!$I$13:$I$108&lt;&gt;"")*(Gruppenphase!$K$13:$K$108&lt;&gt;"")*(Gruppenphase!$M$13:$M$108='Dummy Table'!$B34)*(Gruppenphase!$I$13:$I$108&gt;Gruppenphase!$K$13:$K$108))</f>
        <v>0</v>
      </c>
      <c r="M34" s="5">
        <f>SUMIF(Gruppenphase!$M$13:$M$108,'Dummy Table'!$B34,Gruppenphase!$K$13:$K$108)</f>
        <v>0</v>
      </c>
      <c r="N34" s="5">
        <f>SUMIF(Gruppenphase!$M$13:$M$108,'Dummy Table'!$B34,Gruppenphase!$I$13:$I$108)</f>
        <v>0</v>
      </c>
      <c r="O34" s="5">
        <f t="shared" si="11"/>
        <v>0</v>
      </c>
      <c r="P34" s="5">
        <f t="shared" si="12"/>
        <v>0</v>
      </c>
      <c r="Q34" s="5">
        <f t="shared" si="13"/>
        <v>0</v>
      </c>
      <c r="R34" s="5">
        <f t="shared" si="14"/>
        <v>0</v>
      </c>
      <c r="S34" s="5">
        <f t="shared" si="15"/>
        <v>0</v>
      </c>
      <c r="T34" s="5">
        <f t="shared" si="16"/>
        <v>0</v>
      </c>
      <c r="U34" s="5">
        <f t="shared" si="17"/>
        <v>0</v>
      </c>
      <c r="V34" s="5">
        <f t="shared" si="18"/>
        <v>0</v>
      </c>
      <c r="W34" s="5">
        <f t="shared" si="19"/>
        <v>0</v>
      </c>
      <c r="X34" s="5">
        <v>52</v>
      </c>
      <c r="Y34" s="5">
        <f>RANK(W34,W$32:W$35)</f>
        <v>1</v>
      </c>
      <c r="Z34" s="5">
        <f>SUMPRODUCT((W$32:W$35=W34)*(V$32:V$35&gt;V34))</f>
        <v>0</v>
      </c>
      <c r="AA34" s="5">
        <f>SUMPRODUCT((Y$32:Y$35=Y34)*(Z$32:Z$35=Z34)*(T$32:T$35&gt;T34))</f>
        <v>0</v>
      </c>
      <c r="AB34" s="5">
        <f>SUMPRODUCT((Y$32:Y$35=Y34)*(Z$32:Z$35=Z34)*(T$32:T$35=T34)*(X$32:X$35&gt;X34))</f>
        <v>2</v>
      </c>
      <c r="AC34" s="5">
        <v>3</v>
      </c>
      <c r="AD34" s="5" t="str">
        <f>VLOOKUP(AC34,$A$32:$B$35,2,FALSE)</f>
        <v>Bate Borisov</v>
      </c>
      <c r="AE34" s="5">
        <f>VLOOKUP($AD34,$B$32:$W$35,22,FALSE)</f>
        <v>0</v>
      </c>
      <c r="AF34" s="5" t="str">
        <f>IF(AE34=AE33,AD34,"")</f>
        <v>Bate Borisov</v>
      </c>
      <c r="AG34" s="5">
        <f>SUMPRODUCT(($BK$4:$BK$99='Dummy Table'!$AF34)*($BL$4:$BL$99&gt;$BM$4:$BM$99))</f>
        <v>0</v>
      </c>
      <c r="AH34" s="5">
        <f>SUMPRODUCT(($BK$4:$BK$99='Dummy Table'!$AF34)*($BL$4:$BL$99=$BM$4:$BM$99))</f>
        <v>0</v>
      </c>
      <c r="AI34" s="5">
        <f>SUMPRODUCT(($BK$4:$BK$99='Dummy Table'!$AF34)*($BL$4:$BL$99&lt;$BM$4:$BM$99))</f>
        <v>0</v>
      </c>
      <c r="AJ34" s="5">
        <f>SUMIF($BK$4:$BK$99,'Dummy Table'!$AF34,$BL$4:$BL$99)</f>
        <v>0</v>
      </c>
      <c r="AK34" s="5">
        <f>SUMIF($BK$4:$BK$99,'Dummy Table'!$AF34,$BM$4:$BM$99)</f>
        <v>0</v>
      </c>
      <c r="AL34" s="5">
        <f t="shared" si="20"/>
        <v>0</v>
      </c>
      <c r="AM34" s="5">
        <f t="shared" si="21"/>
        <v>0</v>
      </c>
      <c r="AN34" s="5">
        <f>SUMPRODUCT(($BN$4:$BN$99='Dummy Table'!$AF34)*($BL$4:$BL$99&lt;$BM$4:$BM$99))</f>
        <v>0</v>
      </c>
      <c r="AO34" s="5">
        <f>SUMPRODUCT(($BN$4:$BN$99='Dummy Table'!$AF34)*($BL$4:$BL$99=$BM$4:$BM$99))</f>
        <v>0</v>
      </c>
      <c r="AP34" s="5">
        <f>SUMPRODUCT(($BN$4:$BN$99='Dummy Table'!$AF34)*($BL$4:$BL$99&gt;$BM$4:$BM$99))</f>
        <v>0</v>
      </c>
      <c r="AQ34" s="5">
        <f>SUMIF($BN$4:$BN$99,'Dummy Table'!$AF34,$BM$4:$BM$99)</f>
        <v>0</v>
      </c>
      <c r="AR34" s="5">
        <f>SUMIF($BN$4:$BN$99,'Dummy Table'!$AF34,$BL$4:$BL$99)</f>
        <v>0</v>
      </c>
      <c r="AS34" s="5">
        <f t="shared" si="22"/>
        <v>0</v>
      </c>
      <c r="AT34" s="5">
        <f t="shared" si="23"/>
        <v>0</v>
      </c>
      <c r="AU34" s="5">
        <f t="shared" si="24"/>
        <v>0</v>
      </c>
      <c r="AV34" s="5">
        <f t="shared" si="25"/>
        <v>0</v>
      </c>
      <c r="AW34" s="5">
        <f t="shared" si="26"/>
        <v>0</v>
      </c>
      <c r="AX34" s="5">
        <f t="shared" si="27"/>
        <v>0</v>
      </c>
      <c r="AY34" s="5">
        <f t="shared" si="28"/>
        <v>0</v>
      </c>
      <c r="AZ34" s="5">
        <f t="shared" si="29"/>
        <v>0</v>
      </c>
      <c r="BA34" s="5">
        <f t="shared" si="41"/>
        <v>0</v>
      </c>
      <c r="BB34" s="5">
        <f t="shared" si="30"/>
        <v>0</v>
      </c>
      <c r="BC34" s="5">
        <f t="shared" si="31"/>
        <v>0</v>
      </c>
      <c r="BD34" s="5">
        <f t="shared" si="32"/>
        <v>52</v>
      </c>
      <c r="BE34" s="75">
        <f>RANK(BA34,BA$32:BA$35)</f>
        <v>1</v>
      </c>
      <c r="BF34" s="75">
        <f>SUMPRODUCT((BA$32:BA$35=BA34)*(AZ$32:AZ$35&gt;AZ34))</f>
        <v>0</v>
      </c>
      <c r="BG34" s="75">
        <f>SUMPRODUCT((BA$32:BA$35=BA34)*(BE$32:BE$35=BE34)*(AZ$32:AZ$35=AZ34)*(AQ$32:AQ$35&gt;AQ34))</f>
        <v>0</v>
      </c>
      <c r="BH34" s="75">
        <f>SUMPRODUCT((BA$32:BA$35=BA34)*(BE$32:BE$35=BE34)*(AZ$32:AZ$35=AZ34)*(AQ$32:AQ$35=AQ34)*(BB$32:BB$35&gt;BB34))</f>
        <v>0</v>
      </c>
      <c r="BI34" s="75">
        <f>SUMPRODUCT((BA$32:BA$35=BA34)*(BE$32:BE$35=BE34)*(AZ$32:AZ$35=AZ34)*(AQ$32:AQ$35=AQ34)*(BB$32:BB$35=BB34)*(BC$32:BC$35&gt;BC34))</f>
        <v>0</v>
      </c>
      <c r="BJ34" s="75">
        <f>SUMPRODUCT((BA$32:BA$35=BA34)*(BE$32:BE$35=BE34)*(AZ$32:AZ$35=AZ34)*(AQ$32:AQ$35=AQ34)*(BB$32:BB$35=BB34)*(BC$32:BC$35=BC34)*(BD$32:BD$35&gt;BD34))</f>
        <v>2</v>
      </c>
      <c r="BK34" s="5" t="str">
        <f>IF(AND(COUNTIF($AF$4:$AF$35,Gruppenphase!G43)&gt;0,COUNTIF($AF$4:$AF$35,Gruppenphase!M43)&gt;0,Gruppenphase!I43&lt;&gt;"",Gruppenphase!K43&lt;&gt;""),Gruppenphase!G43,"")</f>
        <v/>
      </c>
      <c r="BL34" s="5" t="str">
        <f>IF($BK34&lt;&gt;"",Gruppenphase!I43,"")</f>
        <v/>
      </c>
      <c r="BM34" s="5" t="str">
        <f>IF($BK34&lt;&gt;"",Gruppenphase!K43,"")</f>
        <v/>
      </c>
      <c r="BN34" s="5" t="str">
        <f>IF($BK34&lt;&gt;"",Gruppenphase!M43,"")</f>
        <v/>
      </c>
      <c r="BO34" s="5">
        <f t="shared" si="2"/>
        <v>3</v>
      </c>
      <c r="BP34" s="5" t="str">
        <f t="shared" si="33"/>
        <v>Bate Borisov</v>
      </c>
      <c r="BQ34" s="5">
        <f>VLOOKUP($AD34,$B$32:$W$35,22,FALSE)</f>
        <v>0</v>
      </c>
      <c r="BR34" s="5" t="str">
        <f>IF(AND(BQ34&lt;&gt;BQ33,BQ34=BQ35),AD34,"")</f>
        <v/>
      </c>
      <c r="BS34" s="5">
        <f>SUMPRODUCT(($BK$4:$BK$99='Dummy Table'!$AF34)*($BL$4:$BL$99&gt;$BM$4:$BM$99))</f>
        <v>0</v>
      </c>
      <c r="BT34" s="5">
        <f>SUMPRODUCT(($BK$4:$BK$99='Dummy Table'!$AF34)*($BL$4:$BL$99=$BM$4:$BM$99))</f>
        <v>0</v>
      </c>
      <c r="BU34" s="5">
        <f>SUMPRODUCT(($BK$4:$BK$99='Dummy Table'!$AF34)*($BL$4:$BL$99&lt;$BM$4:$BM$99))</f>
        <v>0</v>
      </c>
      <c r="BV34" s="5">
        <f>SUMIF($BK$4:$BK$99,'Dummy Table'!$AF34,$BL$4:$BL$99)</f>
        <v>0</v>
      </c>
      <c r="BW34" s="5">
        <f>SUMIF($BK$4:$BK$99,'Dummy Table'!$AF34,$BM$4:$BM$99)</f>
        <v>0</v>
      </c>
      <c r="BX34" s="5">
        <f t="shared" si="34"/>
        <v>0</v>
      </c>
      <c r="BY34" s="5" t="str">
        <f t="shared" si="35"/>
        <v/>
      </c>
      <c r="BZ34" s="5">
        <f>SUMPRODUCT(($BN$4:$BN$99='Dummy Table'!$AF34)*($BL$4:$BL$99&lt;$BM$4:$BM$99))</f>
        <v>0</v>
      </c>
      <c r="CA34" s="5">
        <f>SUMPRODUCT(($BN$4:$BN$99='Dummy Table'!$AF34)*($BL$4:$BL$99=$BM$4:$BM$99))</f>
        <v>0</v>
      </c>
      <c r="CB34" s="5">
        <f>SUMPRODUCT(($BN$4:$BN$99='Dummy Table'!$AF34)*($BL$4:$BL$99&gt;$BM$4:$BM$99))</f>
        <v>0</v>
      </c>
      <c r="CC34" s="5">
        <f>SUMIF($BN$4:$BN$99,'Dummy Table'!$AF34,$BM$4:$BM$99)</f>
        <v>0</v>
      </c>
      <c r="CD34" s="5">
        <f>SUMIF($BN$4:$BN$99,'Dummy Table'!$AF34,$BL$4:$BL$99)</f>
        <v>0</v>
      </c>
      <c r="CE34" s="5">
        <f t="shared" si="36"/>
        <v>0</v>
      </c>
      <c r="CF34" s="5" t="str">
        <f t="shared" si="37"/>
        <v/>
      </c>
      <c r="CG34" s="5">
        <f t="shared" si="38"/>
        <v>0</v>
      </c>
      <c r="CH34" s="5">
        <f t="shared" si="3"/>
        <v>0</v>
      </c>
      <c r="CI34" s="5">
        <f t="shared" si="4"/>
        <v>0</v>
      </c>
      <c r="CJ34" s="5">
        <f t="shared" si="5"/>
        <v>0</v>
      </c>
      <c r="CK34" s="5">
        <f t="shared" si="6"/>
        <v>0</v>
      </c>
      <c r="CL34" s="5">
        <f t="shared" si="7"/>
        <v>0</v>
      </c>
      <c r="CM34" s="5">
        <f t="shared" si="42"/>
        <v>-1</v>
      </c>
      <c r="CN34" s="5">
        <v>31</v>
      </c>
      <c r="CO34" s="5">
        <f>RANK(CM34,CM$32:CM$35)</f>
        <v>1</v>
      </c>
      <c r="CP34" s="5">
        <f>SUMPRODUCT((CM$32:CM$35=CM34)*(CO$32:CO$35=CO34)*(CC$32:CC$35&gt;CC34))</f>
        <v>0</v>
      </c>
      <c r="CQ34" s="5">
        <f>SUMPRODUCT((CM$32:CM$35=CM34)*(CL$32:CL$35&gt;CL34))</f>
        <v>0</v>
      </c>
      <c r="CR34" s="5">
        <f>SUMPRODUCT((CO$32:CO$35=CO34)*(CQ$32:CQ$35=CQ34)*(CJ$32:CJ$35&gt;CJ34))</f>
        <v>0</v>
      </c>
      <c r="CS34" s="5">
        <f>SUMPRODUCT((CO$32:CO$35=CO34)*(CQ$32:CQ$35=CQ34)*(CJ$32:CJ$35=CJ34)*(CN$32:CN$35&gt;CN34))</f>
        <v>1</v>
      </c>
      <c r="CT34" s="5" t="str">
        <f>IF(AND(COUNTIF($AF$4:$AF$35,Gruppenphase!$G43)&gt;0,COUNTIF($AF$4:$AF$35,Gruppenphase!$M43)&gt;0),Gruppenphase!$G43,"")</f>
        <v>Bate Borisov</v>
      </c>
      <c r="CU34" s="5" t="str">
        <f>IF($BK34&lt;&gt;"",Gruppenphase!$I43,"")</f>
        <v/>
      </c>
      <c r="CV34" s="5" t="str">
        <f>IF($BK34&lt;&gt;"",Gruppenphase!$K43,"")</f>
        <v/>
      </c>
      <c r="CW34" s="5" t="str">
        <f>IF($BK34&lt;&gt;"",Gruppenphase!$M43,"")</f>
        <v/>
      </c>
      <c r="CX34" s="5" t="str">
        <f t="shared" si="39"/>
        <v/>
      </c>
      <c r="CY34" s="5" t="str">
        <f t="shared" si="40"/>
        <v/>
      </c>
      <c r="CZ34" s="5">
        <v>3</v>
      </c>
      <c r="DA34" s="5" t="str">
        <f t="shared" si="43"/>
        <v/>
      </c>
      <c r="DB34" s="5">
        <f>IF(AND(DA34="",DA33="",DA32=""),CZ34,IF(AND(DA32&lt;&gt;"",DA33="",DA34=""),2,IF(AND(DA32&lt;&gt;"",DA33&lt;&gt;"",DA34=""),1,"")))</f>
        <v>3</v>
      </c>
      <c r="DC34" s="5" t="str">
        <f>VLOOKUP(DB34,$BO$32:$BP$35,2,FALSE)</f>
        <v>Bate Borisov</v>
      </c>
      <c r="DD34" s="5">
        <v>3</v>
      </c>
      <c r="DE34" s="5" t="str">
        <f>IF(CY34&lt;&gt;"",IF(CX34&lt;CX35,CY34,CY35),IF(DC34&lt;&gt;"",DC34,DA34))</f>
        <v>Bate Borisov</v>
      </c>
    </row>
    <row r="35" spans="1:109" x14ac:dyDescent="0.2">
      <c r="A35" s="5">
        <f t="shared" si="8"/>
        <v>4</v>
      </c>
      <c r="B35" s="5" t="str">
        <f>'Club Namen'!B34</f>
        <v>Viktoria Plzeň</v>
      </c>
      <c r="C35" s="5">
        <f>SUMPRODUCT((Gruppenphase!$I$13:$I$108&lt;&gt;"")*(Gruppenphase!$K$13:$K$108&lt;&gt;"")*(Gruppenphase!$G$13:$G$108='Dummy Table'!$B35)*(Gruppenphase!$I$13:$I$108&gt;Gruppenphase!$K$13:$K$108))</f>
        <v>0</v>
      </c>
      <c r="D35" s="5">
        <f>SUMPRODUCT((Gruppenphase!$I$13:$I$108&lt;&gt;"")*(Gruppenphase!$K$13:$K$108&lt;&gt;"")*(Gruppenphase!$G$13:$G$108='Dummy Table'!$B35)*(Gruppenphase!$I$13:$I$108=Gruppenphase!$K$13:$K$108))</f>
        <v>0</v>
      </c>
      <c r="E35" s="5">
        <f>SUMPRODUCT((Gruppenphase!$I$13:$I$108&lt;&gt;"")*(Gruppenphase!$K$13:$K$108&lt;&gt;"")*(Gruppenphase!$G$13:$G$108='Dummy Table'!$B35)*(Gruppenphase!$I$13:$I$108&lt;Gruppenphase!$K$13:$K$108))</f>
        <v>0</v>
      </c>
      <c r="F35" s="5">
        <f>SUMIF(Gruppenphase!$G$13:$G$108,'Dummy Table'!$B35,Gruppenphase!$I$13:$I$108)</f>
        <v>0</v>
      </c>
      <c r="G35" s="5">
        <f>SUMIF(Gruppenphase!$G$13:$G$108,'Dummy Table'!$B35,Gruppenphase!$K$13:$K$108)</f>
        <v>0</v>
      </c>
      <c r="H35" s="5">
        <f t="shared" si="9"/>
        <v>0</v>
      </c>
      <c r="I35" s="5">
        <f t="shared" si="10"/>
        <v>0</v>
      </c>
      <c r="J35" s="5">
        <f>SUMPRODUCT((Gruppenphase!$I$13:$I$108&lt;&gt;"")*(Gruppenphase!$K$13:$K$108&lt;&gt;"")*(Gruppenphase!$M$13:$M$108='Dummy Table'!$B35)*(Gruppenphase!$I$13:$I$108&lt;Gruppenphase!$K$13:$K$108))</f>
        <v>0</v>
      </c>
      <c r="K35" s="5">
        <f>SUMPRODUCT((Gruppenphase!$I$13:$I$108&lt;&gt;"")*(Gruppenphase!$K$13:$K$108&lt;&gt;"")*(Gruppenphase!$M$13:$M$108='Dummy Table'!$B35)*(Gruppenphase!$I$13:$I$108=Gruppenphase!$K$13:$K$108))</f>
        <v>0</v>
      </c>
      <c r="L35" s="5">
        <f>SUMPRODUCT((Gruppenphase!$I$13:$I$108&lt;&gt;"")*(Gruppenphase!$K$13:$K$108&lt;&gt;"")*(Gruppenphase!$M$13:$M$108='Dummy Table'!$B35)*(Gruppenphase!$I$13:$I$108&gt;Gruppenphase!$K$13:$K$108))</f>
        <v>0</v>
      </c>
      <c r="M35" s="5">
        <f>SUMIF(Gruppenphase!$M$13:$M$108,'Dummy Table'!$B35,Gruppenphase!$K$13:$K$108)</f>
        <v>0</v>
      </c>
      <c r="N35" s="5">
        <f>SUMIF(Gruppenphase!$M$13:$M$108,'Dummy Table'!$B35,Gruppenphase!$I$13:$I$108)</f>
        <v>0</v>
      </c>
      <c r="O35" s="5">
        <f t="shared" si="11"/>
        <v>0</v>
      </c>
      <c r="P35" s="5">
        <f t="shared" si="12"/>
        <v>0</v>
      </c>
      <c r="Q35" s="5">
        <f t="shared" si="13"/>
        <v>0</v>
      </c>
      <c r="R35" s="5">
        <f t="shared" si="14"/>
        <v>0</v>
      </c>
      <c r="S35" s="5">
        <f t="shared" si="15"/>
        <v>0</v>
      </c>
      <c r="T35" s="5">
        <f t="shared" si="16"/>
        <v>0</v>
      </c>
      <c r="U35" s="5">
        <f t="shared" si="17"/>
        <v>0</v>
      </c>
      <c r="V35" s="5">
        <f t="shared" si="18"/>
        <v>0</v>
      </c>
      <c r="W35" s="5">
        <f t="shared" si="19"/>
        <v>0</v>
      </c>
      <c r="X35" s="5">
        <v>21</v>
      </c>
      <c r="Y35" s="5">
        <f>RANK(W35,W$32:W$35)</f>
        <v>1</v>
      </c>
      <c r="Z35" s="5">
        <f>SUMPRODUCT((W$32:W$35=W35)*(V$32:V$35&gt;V35))</f>
        <v>0</v>
      </c>
      <c r="AA35" s="5">
        <f>SUMPRODUCT((Y$32:Y$35=Y35)*(Z$32:Z$35=Z35)*(T$32:T$35&gt;T35))</f>
        <v>0</v>
      </c>
      <c r="AB35" s="5">
        <f>SUMPRODUCT((Y$32:Y$35=Y35)*(Z$32:Z$35=Z35)*(T$32:T$35=T35)*(X$32:X$35&gt;X35))</f>
        <v>3</v>
      </c>
      <c r="AC35" s="5">
        <v>4</v>
      </c>
      <c r="AD35" s="5" t="str">
        <f>VLOOKUP(AC35,$A$32:$B$35,2,FALSE)</f>
        <v>Viktoria Plzeň</v>
      </c>
      <c r="AE35" s="5">
        <f>VLOOKUP($AD35,$B$32:$W$35,22,FALSE)</f>
        <v>0</v>
      </c>
      <c r="AF35" s="5" t="str">
        <f>IF(AND(AE35=AE34,AE34=AE33),AD35,"")</f>
        <v>Viktoria Plzeň</v>
      </c>
      <c r="AG35" s="5">
        <f>SUMPRODUCT(($BK$4:$BK$99='Dummy Table'!$AF35)*($BL$4:$BL$99&gt;$BM$4:$BM$99))</f>
        <v>0</v>
      </c>
      <c r="AH35" s="5">
        <f>SUMPRODUCT(($BK$4:$BK$99='Dummy Table'!$AF35)*($BL$4:$BL$99=$BM$4:$BM$99))</f>
        <v>0</v>
      </c>
      <c r="AI35" s="5">
        <f>SUMPRODUCT(($BK$4:$BK$99='Dummy Table'!$AF35)*($BL$4:$BL$99&lt;$BM$4:$BM$99))</f>
        <v>0</v>
      </c>
      <c r="AJ35" s="5">
        <f>SUMIF($BK$4:$BK$99,'Dummy Table'!$AF35,$BL$4:$BL$99)</f>
        <v>0</v>
      </c>
      <c r="AK35" s="5">
        <f>SUMIF($BK$4:$BK$99,'Dummy Table'!$AF35,$BM$4:$BM$99)</f>
        <v>0</v>
      </c>
      <c r="AL35" s="5">
        <f t="shared" si="20"/>
        <v>0</v>
      </c>
      <c r="AM35" s="5">
        <f t="shared" si="21"/>
        <v>0</v>
      </c>
      <c r="AN35" s="5">
        <f>SUMPRODUCT(($BN$4:$BN$99='Dummy Table'!$AF35)*($BL$4:$BL$99&lt;$BM$4:$BM$99))</f>
        <v>0</v>
      </c>
      <c r="AO35" s="5">
        <f>SUMPRODUCT(($BN$4:$BN$99='Dummy Table'!$AF35)*($BL$4:$BL$99=$BM$4:$BM$99))</f>
        <v>0</v>
      </c>
      <c r="AP35" s="5">
        <f>SUMPRODUCT(($BN$4:$BN$99='Dummy Table'!$AF35)*($BL$4:$BL$99&gt;$BM$4:$BM$99))</f>
        <v>0</v>
      </c>
      <c r="AQ35" s="5">
        <f>SUMIF($BN$4:$BN$99,'Dummy Table'!$AF35,$BM$4:$BM$99)</f>
        <v>0</v>
      </c>
      <c r="AR35" s="5">
        <f>SUMIF($BN$4:$BN$99,'Dummy Table'!$AF35,$BL$4:$BL$99)</f>
        <v>0</v>
      </c>
      <c r="AS35" s="5">
        <f t="shared" si="22"/>
        <v>0</v>
      </c>
      <c r="AT35" s="5">
        <f t="shared" si="23"/>
        <v>0</v>
      </c>
      <c r="AU35" s="5">
        <f t="shared" si="24"/>
        <v>0</v>
      </c>
      <c r="AV35" s="5">
        <f t="shared" si="25"/>
        <v>0</v>
      </c>
      <c r="AW35" s="5">
        <f t="shared" si="26"/>
        <v>0</v>
      </c>
      <c r="AX35" s="5">
        <f t="shared" si="27"/>
        <v>0</v>
      </c>
      <c r="AY35" s="5">
        <f t="shared" si="28"/>
        <v>0</v>
      </c>
      <c r="AZ35" s="5">
        <f t="shared" si="29"/>
        <v>0</v>
      </c>
      <c r="BA35" s="5">
        <f t="shared" si="41"/>
        <v>0</v>
      </c>
      <c r="BB35" s="5">
        <f t="shared" si="30"/>
        <v>0</v>
      </c>
      <c r="BC35" s="5">
        <f t="shared" si="31"/>
        <v>0</v>
      </c>
      <c r="BD35" s="5">
        <f t="shared" si="32"/>
        <v>21</v>
      </c>
      <c r="BE35" s="75">
        <f>RANK(BA35,BA$32:BA$35)</f>
        <v>1</v>
      </c>
      <c r="BF35" s="75">
        <f>SUMPRODUCT((BA$32:BA$35=BA35)*(AZ$32:AZ$35&gt;AZ35))</f>
        <v>0</v>
      </c>
      <c r="BG35" s="75">
        <f>SUMPRODUCT((BA$32:BA$35=BA35)*(BE$32:BE$35=BE35)*(AZ$32:AZ$35=AZ35)*(AQ$32:AQ$35&gt;AQ35))</f>
        <v>0</v>
      </c>
      <c r="BH35" s="75">
        <f>SUMPRODUCT((BA$32:BA$35=BA35)*(BE$32:BE$35=BE35)*(AZ$32:AZ$35=AZ35)*(AQ$32:AQ$35=AQ35)*(BB$32:BB$35&gt;BB35))</f>
        <v>0</v>
      </c>
      <c r="BI35" s="75">
        <f>SUMPRODUCT((BA$32:BA$35=BA35)*(BE$32:BE$35=BE35)*(AZ$32:AZ$35=AZ35)*(AQ$32:AQ$35=AQ35)*(BB$32:BB$35=BB35)*(BC$32:BC$35&gt;BC35))</f>
        <v>0</v>
      </c>
      <c r="BJ35" s="75">
        <f>SUMPRODUCT((BA$32:BA$35=BA35)*(BE$32:BE$35=BE35)*(AZ$32:AZ$35=AZ35)*(AQ$32:AQ$35=AQ35)*(BB$32:BB$35=BB35)*(BC$32:BC$35=BC35)*(BD$32:BD$35&gt;BD35))</f>
        <v>3</v>
      </c>
      <c r="BK35" s="5" t="str">
        <f>IF(AND(COUNTIF($AF$4:$AF$35,Gruppenphase!G44)&gt;0,COUNTIF($AF$4:$AF$35,Gruppenphase!M44)&gt;0,Gruppenphase!I44&lt;&gt;"",Gruppenphase!K44&lt;&gt;""),Gruppenphase!G44,"")</f>
        <v/>
      </c>
      <c r="BL35" s="5" t="str">
        <f>IF($BK35&lt;&gt;"",Gruppenphase!I44,"")</f>
        <v/>
      </c>
      <c r="BM35" s="5" t="str">
        <f>IF($BK35&lt;&gt;"",Gruppenphase!K44,"")</f>
        <v/>
      </c>
      <c r="BN35" s="5" t="str">
        <f>IF($BK35&lt;&gt;"",Gruppenphase!M44,"")</f>
        <v/>
      </c>
      <c r="BO35" s="5">
        <f t="shared" si="2"/>
        <v>4</v>
      </c>
      <c r="BP35" s="5" t="str">
        <f t="shared" si="33"/>
        <v>Viktoria Plzeň</v>
      </c>
      <c r="BQ35" s="5">
        <f>VLOOKUP($AD35,$B$32:$W$35,22,FALSE)</f>
        <v>0</v>
      </c>
      <c r="BR35" s="5" t="str">
        <f>IF(BR34&lt;&gt;"",AD35,"")</f>
        <v/>
      </c>
      <c r="BS35" s="5">
        <f>SUMPRODUCT(($BK$4:$BK$99='Dummy Table'!$AF35)*($BL$4:$BL$99&gt;$BM$4:$BM$99))</f>
        <v>0</v>
      </c>
      <c r="BT35" s="5">
        <f>SUMPRODUCT(($BK$4:$BK$99='Dummy Table'!$AF35)*($BL$4:$BL$99=$BM$4:$BM$99))</f>
        <v>0</v>
      </c>
      <c r="BU35" s="5">
        <f>SUMPRODUCT(($BK$4:$BK$99='Dummy Table'!$AF35)*($BL$4:$BL$99&lt;$BM$4:$BM$99))</f>
        <v>0</v>
      </c>
      <c r="BV35" s="5">
        <f>SUMIF($BK$4:$BK$99,'Dummy Table'!$AF35,$BL$4:$BL$99)</f>
        <v>0</v>
      </c>
      <c r="BW35" s="5">
        <f>SUMIF($BK$4:$BK$99,'Dummy Table'!$AF35,$BM$4:$BM$99)</f>
        <v>0</v>
      </c>
      <c r="BX35" s="5">
        <f t="shared" si="34"/>
        <v>0</v>
      </c>
      <c r="BY35" s="5" t="str">
        <f t="shared" si="35"/>
        <v/>
      </c>
      <c r="BZ35" s="5">
        <f>SUMPRODUCT(($BN$4:$BN$99='Dummy Table'!$AF35)*($BL$4:$BL$99&lt;$BM$4:$BM$99))</f>
        <v>0</v>
      </c>
      <c r="CA35" s="5">
        <f>SUMPRODUCT(($BN$4:$BN$99='Dummy Table'!$AF35)*($BL$4:$BL$99=$BM$4:$BM$99))</f>
        <v>0</v>
      </c>
      <c r="CB35" s="5">
        <f>SUMPRODUCT(($BN$4:$BN$99='Dummy Table'!$AF35)*($BL$4:$BL$99&gt;$BM$4:$BM$99))</f>
        <v>0</v>
      </c>
      <c r="CC35" s="5">
        <f>SUMIF($BN$4:$BN$99,'Dummy Table'!$AF35,$BM$4:$BM$99)</f>
        <v>0</v>
      </c>
      <c r="CD35" s="5">
        <f>SUMIF($BN$4:$BN$99,'Dummy Table'!$AF35,$BL$4:$BL$99)</f>
        <v>0</v>
      </c>
      <c r="CE35" s="5">
        <f t="shared" si="36"/>
        <v>0</v>
      </c>
      <c r="CF35" s="5" t="str">
        <f t="shared" si="37"/>
        <v/>
      </c>
      <c r="CG35" s="5">
        <f t="shared" si="38"/>
        <v>0</v>
      </c>
      <c r="CH35" s="5">
        <f t="shared" si="3"/>
        <v>0</v>
      </c>
      <c r="CI35" s="5">
        <f t="shared" si="4"/>
        <v>0</v>
      </c>
      <c r="CJ35" s="5">
        <f t="shared" si="5"/>
        <v>0</v>
      </c>
      <c r="CK35" s="5">
        <f t="shared" si="6"/>
        <v>0</v>
      </c>
      <c r="CL35" s="5">
        <f t="shared" si="7"/>
        <v>0</v>
      </c>
      <c r="CM35" s="5">
        <f t="shared" si="42"/>
        <v>-1</v>
      </c>
      <c r="CN35" s="5">
        <v>32</v>
      </c>
      <c r="CO35" s="5">
        <f>RANK(CM35,CM$32:CM$35)</f>
        <v>1</v>
      </c>
      <c r="CP35" s="5">
        <f>SUMPRODUCT((CM$32:CM$35=CM35)*(CO$32:CO$35=CO35)*(CC$32:CC$35&gt;CC35))</f>
        <v>0</v>
      </c>
      <c r="CQ35" s="5">
        <f>SUMPRODUCT((CM$32:CM$35=CM35)*(CL$32:CL$35&gt;CL35))</f>
        <v>0</v>
      </c>
      <c r="CR35" s="5">
        <f>SUMPRODUCT((CO$32:CO$35=CO35)*(CQ$32:CQ$35=CQ35)*(CJ$32:CJ$35&gt;CJ35))</f>
        <v>0</v>
      </c>
      <c r="CS35" s="5">
        <f>SUMPRODUCT((CO$32:CO$35=CO35)*(CQ$32:CQ$35=CQ35)*(CJ$32:CJ$35=CJ35)*(CN$32:CN$35&gt;CN35))</f>
        <v>0</v>
      </c>
      <c r="CT35" s="5" t="str">
        <f>IF(AND(COUNTIF($AF$4:$AF$35,Gruppenphase!$G44)&gt;0,COUNTIF($AF$4:$AF$35,Gruppenphase!$M44)&gt;0),Gruppenphase!$G44,"")</f>
        <v>AC Milan</v>
      </c>
      <c r="CU35" s="5" t="str">
        <f>IF($BK35&lt;&gt;"",Gruppenphase!$I44,"")</f>
        <v/>
      </c>
      <c r="CV35" s="5" t="str">
        <f>IF($BK35&lt;&gt;"",Gruppenphase!$K44,"")</f>
        <v/>
      </c>
      <c r="CW35" s="5" t="str">
        <f>IF($BK35&lt;&gt;"",Gruppenphase!$M44,"")</f>
        <v/>
      </c>
      <c r="CX35" s="5" t="str">
        <f t="shared" si="39"/>
        <v/>
      </c>
      <c r="CY35" s="5" t="str">
        <f t="shared" si="40"/>
        <v/>
      </c>
      <c r="CZ35" s="5">
        <v>4</v>
      </c>
      <c r="DA35" s="5" t="str">
        <f t="shared" si="43"/>
        <v/>
      </c>
      <c r="DB35" s="5">
        <f>IF(AND(DA35="",DA34="",DA33="",DA32=""),4,IF(AND(DA35="",DA34="",DA33=""),3,IF(AND(DA33&lt;&gt;"",DA34="",DA35=""),2,IF(AND(DA33&lt;&gt;"",DA34&lt;&gt;"",DA35=""),1,""))))</f>
        <v>4</v>
      </c>
      <c r="DC35" s="5" t="str">
        <f>VLOOKUP(DB35,$BO$32:$BP$35,2,FALSE)</f>
        <v>Viktoria Plzeň</v>
      </c>
      <c r="DD35" s="5">
        <v>4</v>
      </c>
      <c r="DE35" s="5" t="str">
        <f>IF(CY35&lt;&gt;"",IF(CX34&lt;CX35,CY35,CY34),IF(DC35&lt;&gt;"",DC35,DA35))</f>
        <v>Viktoria Plzeň</v>
      </c>
    </row>
    <row r="36" spans="1:109" x14ac:dyDescent="0.2">
      <c r="BE36" s="75"/>
      <c r="BF36" s="75"/>
      <c r="BG36" s="75"/>
      <c r="BH36" s="75"/>
      <c r="BI36" s="75"/>
      <c r="BJ36" s="75"/>
      <c r="BK36" s="5" t="str">
        <f>IF(AND(COUNTIF($AF$4:$AF$35,Gruppenphase!G45)&gt;0,COUNTIF($AF$4:$AF$35,Gruppenphase!M45)&gt;0,Gruppenphase!I45&lt;&gt;"",Gruppenphase!K45&lt;&gt;""),Gruppenphase!G45,"")</f>
        <v/>
      </c>
      <c r="BL36" s="5" t="str">
        <f>IF($BK36&lt;&gt;"",Gruppenphase!I45,"")</f>
        <v/>
      </c>
      <c r="BM36" s="5" t="str">
        <f>IF($BK36&lt;&gt;"",Gruppenphase!K45,"")</f>
        <v/>
      </c>
      <c r="BN36" s="5" t="str">
        <f>IF($BK36&lt;&gt;"",Gruppenphase!M45,"")</f>
        <v/>
      </c>
      <c r="CT36" s="5" t="str">
        <f>IF(AND(COUNTIF($AF$4:$AF$35,Gruppenphase!$G45)&gt;0,COUNTIF($AF$4:$AF$35,Gruppenphase!$M45)&gt;0),Gruppenphase!$G45,"")</f>
        <v>CSKA Moscow</v>
      </c>
      <c r="CU36" s="5" t="str">
        <f>IF($BK36&lt;&gt;"",Gruppenphase!$I45,"")</f>
        <v/>
      </c>
      <c r="CV36" s="5" t="str">
        <f>IF($BK36&lt;&gt;"",Gruppenphase!$K45,"")</f>
        <v/>
      </c>
      <c r="CW36" s="5" t="str">
        <f>IF($BK36&lt;&gt;"",Gruppenphase!$M45,"")</f>
        <v/>
      </c>
    </row>
    <row r="37" spans="1:109" x14ac:dyDescent="0.2">
      <c r="BE37" s="75"/>
      <c r="BF37" s="75"/>
      <c r="BG37" s="75"/>
      <c r="BH37" s="75"/>
      <c r="BI37" s="75"/>
      <c r="BJ37" s="75"/>
      <c r="BK37" s="5" t="str">
        <f>IF(AND(COUNTIF($AF$4:$AF$35,Gruppenphase!G46)&gt;0,COUNTIF($AF$4:$AF$35,Gruppenphase!M46)&gt;0,Gruppenphase!I46&lt;&gt;"",Gruppenphase!K46&lt;&gt;""),Gruppenphase!G46,"")</f>
        <v/>
      </c>
      <c r="BL37" s="5" t="str">
        <f>IF($BK37&lt;&gt;"",Gruppenphase!I46,"")</f>
        <v/>
      </c>
      <c r="BM37" s="5" t="str">
        <f>IF($BK37&lt;&gt;"",Gruppenphase!K46,"")</f>
        <v/>
      </c>
      <c r="BN37" s="5" t="str">
        <f>IF($BK37&lt;&gt;"",Gruppenphase!M46,"")</f>
        <v/>
      </c>
      <c r="CT37" s="5" t="str">
        <f>IF(AND(COUNTIF($AF$4:$AF$35,Gruppenphase!$G46)&gt;0,COUNTIF($AF$4:$AF$35,Gruppenphase!$M46)&gt;0),Gruppenphase!$G46,"")</f>
        <v>Napoli</v>
      </c>
      <c r="CU37" s="5" t="str">
        <f>IF($BK37&lt;&gt;"",Gruppenphase!$I46,"")</f>
        <v/>
      </c>
      <c r="CV37" s="5" t="str">
        <f>IF($BK37&lt;&gt;"",Gruppenphase!$K46,"")</f>
        <v/>
      </c>
      <c r="CW37" s="5" t="str">
        <f>IF($BK37&lt;&gt;"",Gruppenphase!$M46,"")</f>
        <v/>
      </c>
    </row>
    <row r="38" spans="1:109" x14ac:dyDescent="0.2">
      <c r="BE38" s="75"/>
      <c r="BF38" s="75"/>
      <c r="BG38" s="75"/>
      <c r="BH38" s="75"/>
      <c r="BI38" s="75"/>
      <c r="BJ38" s="75"/>
      <c r="BK38" s="5" t="str">
        <f>IF(AND(COUNTIF($AF$4:$AF$35,Gruppenphase!G47)&gt;0,COUNTIF($AF$4:$AF$35,Gruppenphase!M47)&gt;0,Gruppenphase!I47&lt;&gt;"",Gruppenphase!K47&lt;&gt;""),Gruppenphase!G47,"")</f>
        <v/>
      </c>
      <c r="BL38" s="5" t="str">
        <f>IF($BK38&lt;&gt;"",Gruppenphase!I47,"")</f>
        <v/>
      </c>
      <c r="BM38" s="5" t="str">
        <f>IF($BK38&lt;&gt;"",Gruppenphase!K47,"")</f>
        <v/>
      </c>
      <c r="BN38" s="5" t="str">
        <f>IF($BK38&lt;&gt;"",Gruppenphase!M47,"")</f>
        <v/>
      </c>
      <c r="CT38" s="5" t="str">
        <f>IF(AND(COUNTIF($AF$4:$AF$35,Gruppenphase!$G47)&gt;0,COUNTIF($AF$4:$AF$35,Gruppenphase!$M47)&gt;0),Gruppenphase!$G47,"")</f>
        <v>Manchester City</v>
      </c>
      <c r="CU38" s="5" t="str">
        <f>IF($BK38&lt;&gt;"",Gruppenphase!$I47,"")</f>
        <v/>
      </c>
      <c r="CV38" s="5" t="str">
        <f>IF($BK38&lt;&gt;"",Gruppenphase!$K47,"")</f>
        <v/>
      </c>
      <c r="CW38" s="5" t="str">
        <f>IF($BK38&lt;&gt;"",Gruppenphase!$M47,"")</f>
        <v/>
      </c>
    </row>
    <row r="39" spans="1:109" x14ac:dyDescent="0.2">
      <c r="BE39" s="75"/>
      <c r="BF39" s="75"/>
      <c r="BG39" s="75"/>
      <c r="BH39" s="75"/>
      <c r="BI39" s="75"/>
      <c r="BJ39" s="75"/>
      <c r="BK39" s="5" t="str">
        <f>IF(AND(COUNTIF($AF$4:$AF$35,Gruppenphase!G48)&gt;0,COUNTIF($AF$4:$AF$35,Gruppenphase!M48)&gt;0,Gruppenphase!I48&lt;&gt;"",Gruppenphase!K48&lt;&gt;""),Gruppenphase!G48,"")</f>
        <v/>
      </c>
      <c r="BL39" s="5" t="str">
        <f>IF($BK39&lt;&gt;"",Gruppenphase!I48,"")</f>
        <v/>
      </c>
      <c r="BM39" s="5" t="str">
        <f>IF($BK39&lt;&gt;"",Gruppenphase!K48,"")</f>
        <v/>
      </c>
      <c r="BN39" s="5" t="str">
        <f>IF($BK39&lt;&gt;"",Gruppenphase!M48,"")</f>
        <v/>
      </c>
      <c r="CT39" s="5" t="str">
        <f>IF(AND(COUNTIF($AF$4:$AF$35,Gruppenphase!$G48)&gt;0,COUNTIF($AF$4:$AF$35,Gruppenphase!$M48)&gt;0),Gruppenphase!$G48,"")</f>
        <v>Lille</v>
      </c>
      <c r="CU39" s="5" t="str">
        <f>IF($BK39&lt;&gt;"",Gruppenphase!$I48,"")</f>
        <v/>
      </c>
      <c r="CV39" s="5" t="str">
        <f>IF($BK39&lt;&gt;"",Gruppenphase!$K48,"")</f>
        <v/>
      </c>
      <c r="CW39" s="5" t="str">
        <f>IF($BK39&lt;&gt;"",Gruppenphase!$M48,"")</f>
        <v/>
      </c>
    </row>
    <row r="40" spans="1:109" x14ac:dyDescent="0.2">
      <c r="BE40" s="75"/>
      <c r="BF40" s="75"/>
      <c r="BG40" s="75"/>
      <c r="BH40" s="75"/>
      <c r="BI40" s="75"/>
      <c r="BJ40" s="75"/>
      <c r="BK40" s="5" t="str">
        <f>IF(AND(COUNTIF($AF$4:$AF$35,Gruppenphase!G49)&gt;0,COUNTIF($AF$4:$AF$35,Gruppenphase!M49)&gt;0,Gruppenphase!I49&lt;&gt;"",Gruppenphase!K49&lt;&gt;""),Gruppenphase!G49,"")</f>
        <v/>
      </c>
      <c r="BL40" s="5" t="str">
        <f>IF($BK40&lt;&gt;"",Gruppenphase!I49,"")</f>
        <v/>
      </c>
      <c r="BM40" s="5" t="str">
        <f>IF($BK40&lt;&gt;"",Gruppenphase!K49,"")</f>
        <v/>
      </c>
      <c r="BN40" s="5" t="str">
        <f>IF($BK40&lt;&gt;"",Gruppenphase!M49,"")</f>
        <v/>
      </c>
      <c r="CT40" s="5" t="str">
        <f>IF(AND(COUNTIF($AF$4:$AF$35,Gruppenphase!$G49)&gt;0,COUNTIF($AF$4:$AF$35,Gruppenphase!$M49)&gt;0),Gruppenphase!$G49,"")</f>
        <v>Oţelul Galaţi</v>
      </c>
      <c r="CU40" s="5" t="str">
        <f>IF($BK40&lt;&gt;"",Gruppenphase!$I49,"")</f>
        <v/>
      </c>
      <c r="CV40" s="5" t="str">
        <f>IF($BK40&lt;&gt;"",Gruppenphase!$K49,"")</f>
        <v/>
      </c>
      <c r="CW40" s="5" t="str">
        <f>IF($BK40&lt;&gt;"",Gruppenphase!$M49,"")</f>
        <v/>
      </c>
    </row>
    <row r="41" spans="1:109" x14ac:dyDescent="0.2">
      <c r="BK41" s="5" t="str">
        <f>IF(AND(COUNTIF($AF$4:$AF$35,Gruppenphase!G50)&gt;0,COUNTIF($AF$4:$AF$35,Gruppenphase!M50)&gt;0,Gruppenphase!I50&lt;&gt;"",Gruppenphase!K50&lt;&gt;""),Gruppenphase!G50,"")</f>
        <v/>
      </c>
      <c r="BL41" s="5" t="str">
        <f>IF($BK41&lt;&gt;"",Gruppenphase!I50,"")</f>
        <v/>
      </c>
      <c r="BM41" s="5" t="str">
        <f>IF($BK41&lt;&gt;"",Gruppenphase!K50,"")</f>
        <v/>
      </c>
      <c r="BN41" s="5" t="str">
        <f>IF($BK41&lt;&gt;"",Gruppenphase!M50,"")</f>
        <v/>
      </c>
      <c r="CT41" s="5" t="str">
        <f>IF(AND(COUNTIF($AF$4:$AF$35,Gruppenphase!$G50)&gt;0,COUNTIF($AF$4:$AF$35,Gruppenphase!$M50)&gt;0),Gruppenphase!$G50,"")</f>
        <v>Basel</v>
      </c>
      <c r="CU41" s="5" t="str">
        <f>IF($BK41&lt;&gt;"",Gruppenphase!$I50,"")</f>
        <v/>
      </c>
      <c r="CV41" s="5" t="str">
        <f>IF($BK41&lt;&gt;"",Gruppenphase!$K50,"")</f>
        <v/>
      </c>
      <c r="CW41" s="5" t="str">
        <f>IF($BK41&lt;&gt;"",Gruppenphase!$M50,"")</f>
        <v/>
      </c>
    </row>
    <row r="42" spans="1:109" x14ac:dyDescent="0.2">
      <c r="BK42" s="5" t="str">
        <f>IF(AND(COUNTIF($AF$4:$AF$35,Gruppenphase!G51)&gt;0,COUNTIF($AF$4:$AF$35,Gruppenphase!M51)&gt;0,Gruppenphase!I51&lt;&gt;"",Gruppenphase!K51&lt;&gt;""),Gruppenphase!G51,"")</f>
        <v/>
      </c>
      <c r="BL42" s="5" t="str">
        <f>IF($BK42&lt;&gt;"",Gruppenphase!I51,"")</f>
        <v/>
      </c>
      <c r="BM42" s="5" t="str">
        <f>IF($BK42&lt;&gt;"",Gruppenphase!K51,"")</f>
        <v/>
      </c>
      <c r="BN42" s="5" t="str">
        <f>IF($BK42&lt;&gt;"",Gruppenphase!M51,"")</f>
        <v/>
      </c>
      <c r="CT42" s="5" t="str">
        <f>IF(AND(COUNTIF($AF$4:$AF$35,Gruppenphase!$G51)&gt;0,COUNTIF($AF$4:$AF$35,Gruppenphase!$M51)&gt;0),Gruppenphase!$G51,"")</f>
        <v>Real Madrid</v>
      </c>
      <c r="CU42" s="5" t="str">
        <f>IF($BK42&lt;&gt;"",Gruppenphase!$I51,"")</f>
        <v/>
      </c>
      <c r="CV42" s="5" t="str">
        <f>IF($BK42&lt;&gt;"",Gruppenphase!$K51,"")</f>
        <v/>
      </c>
      <c r="CW42" s="5" t="str">
        <f>IF($BK42&lt;&gt;"",Gruppenphase!$M51,"")</f>
        <v/>
      </c>
    </row>
    <row r="43" spans="1:109" x14ac:dyDescent="0.2">
      <c r="BK43" s="5" t="str">
        <f>IF(AND(COUNTIF($AF$4:$AF$35,Gruppenphase!G52)&gt;0,COUNTIF($AF$4:$AF$35,Gruppenphase!M52)&gt;0,Gruppenphase!I52&lt;&gt;"",Gruppenphase!K52&lt;&gt;""),Gruppenphase!G52,"")</f>
        <v/>
      </c>
      <c r="BL43" s="5" t="str">
        <f>IF($BK43&lt;&gt;"",Gruppenphase!I52,"")</f>
        <v/>
      </c>
      <c r="BM43" s="5" t="str">
        <f>IF($BK43&lt;&gt;"",Gruppenphase!K52,"")</f>
        <v/>
      </c>
      <c r="BN43" s="5" t="str">
        <f>IF($BK43&lt;&gt;"",Gruppenphase!M52,"")</f>
        <v/>
      </c>
      <c r="CT43" s="5" t="str">
        <f>IF(AND(COUNTIF($AF$4:$AF$35,Gruppenphase!$G52)&gt;0,COUNTIF($AF$4:$AF$35,Gruppenphase!$M52)&gt;0),Gruppenphase!$G52,"")</f>
        <v>Dinamo Zagreb</v>
      </c>
      <c r="CU43" s="5" t="str">
        <f>IF($BK43&lt;&gt;"",Gruppenphase!$I52,"")</f>
        <v/>
      </c>
      <c r="CV43" s="5" t="str">
        <f>IF($BK43&lt;&gt;"",Gruppenphase!$K52,"")</f>
        <v/>
      </c>
      <c r="CW43" s="5" t="str">
        <f>IF($BK43&lt;&gt;"",Gruppenphase!$M52,"")</f>
        <v/>
      </c>
    </row>
    <row r="44" spans="1:109" x14ac:dyDescent="0.2">
      <c r="BK44" s="5" t="str">
        <f>IF(AND(COUNTIF($AF$4:$AF$35,Gruppenphase!G53)&gt;0,COUNTIF($AF$4:$AF$35,Gruppenphase!M53)&gt;0,Gruppenphase!I53&lt;&gt;"",Gruppenphase!K53&lt;&gt;""),Gruppenphase!G53,"")</f>
        <v/>
      </c>
      <c r="BL44" s="5" t="str">
        <f>IF($BK44&lt;&gt;"",Gruppenphase!I53,"")</f>
        <v/>
      </c>
      <c r="BM44" s="5" t="str">
        <f>IF($BK44&lt;&gt;"",Gruppenphase!K53,"")</f>
        <v/>
      </c>
      <c r="BN44" s="5" t="str">
        <f>IF($BK44&lt;&gt;"",Gruppenphase!M53,"")</f>
        <v/>
      </c>
      <c r="CT44" s="5" t="str">
        <f>IF(AND(COUNTIF($AF$4:$AF$35,Gruppenphase!$G53)&gt;0,COUNTIF($AF$4:$AF$35,Gruppenphase!$M53)&gt;0),Gruppenphase!$G53,"")</f>
        <v>Bayer Leverkusen</v>
      </c>
      <c r="CU44" s="5" t="str">
        <f>IF($BK44&lt;&gt;"",Gruppenphase!$I53,"")</f>
        <v/>
      </c>
      <c r="CV44" s="5" t="str">
        <f>IF($BK44&lt;&gt;"",Gruppenphase!$K53,"")</f>
        <v/>
      </c>
      <c r="CW44" s="5" t="str">
        <f>IF($BK44&lt;&gt;"",Gruppenphase!$M53,"")</f>
        <v/>
      </c>
    </row>
    <row r="45" spans="1:109" x14ac:dyDescent="0.2">
      <c r="BK45" s="5" t="str">
        <f>IF(AND(COUNTIF($AF$4:$AF$35,Gruppenphase!G54)&gt;0,COUNTIF($AF$4:$AF$35,Gruppenphase!M54)&gt;0,Gruppenphase!I54&lt;&gt;"",Gruppenphase!K54&lt;&gt;""),Gruppenphase!G54,"")</f>
        <v/>
      </c>
      <c r="BL45" s="5" t="str">
        <f>IF($BK45&lt;&gt;"",Gruppenphase!I54,"")</f>
        <v/>
      </c>
      <c r="BM45" s="5" t="str">
        <f>IF($BK45&lt;&gt;"",Gruppenphase!K54,"")</f>
        <v/>
      </c>
      <c r="BN45" s="5" t="str">
        <f>IF($BK45&lt;&gt;"",Gruppenphase!M54,"")</f>
        <v/>
      </c>
      <c r="CT45" s="5" t="str">
        <f>IF(AND(COUNTIF($AF$4:$AF$35,Gruppenphase!$G54)&gt;0,COUNTIF($AF$4:$AF$35,Gruppenphase!$M54)&gt;0),Gruppenphase!$G54,"")</f>
        <v>Chelsea</v>
      </c>
      <c r="CU45" s="5" t="str">
        <f>IF($BK45&lt;&gt;"",Gruppenphase!$I54,"")</f>
        <v/>
      </c>
      <c r="CV45" s="5" t="str">
        <f>IF($BK45&lt;&gt;"",Gruppenphase!$K54,"")</f>
        <v/>
      </c>
      <c r="CW45" s="5" t="str">
        <f>IF($BK45&lt;&gt;"",Gruppenphase!$M54,"")</f>
        <v/>
      </c>
    </row>
    <row r="46" spans="1:109" x14ac:dyDescent="0.2">
      <c r="BK46" s="5" t="str">
        <f>IF(AND(COUNTIF($AF$4:$AF$35,Gruppenphase!G55)&gt;0,COUNTIF($AF$4:$AF$35,Gruppenphase!M55)&gt;0,Gruppenphase!I55&lt;&gt;"",Gruppenphase!K55&lt;&gt;""),Gruppenphase!G55,"")</f>
        <v/>
      </c>
      <c r="BL46" s="5" t="str">
        <f>IF($BK46&lt;&gt;"",Gruppenphase!I55,"")</f>
        <v/>
      </c>
      <c r="BM46" s="5" t="str">
        <f>IF($BK46&lt;&gt;"",Gruppenphase!K55,"")</f>
        <v/>
      </c>
      <c r="BN46" s="5" t="str">
        <f>IF($BK46&lt;&gt;"",Gruppenphase!M55,"")</f>
        <v/>
      </c>
      <c r="CT46" s="5" t="str">
        <f>IF(AND(COUNTIF($AF$4:$AF$35,Gruppenphase!$G55)&gt;0,COUNTIF($AF$4:$AF$35,Gruppenphase!$M55)&gt;0),Gruppenphase!$G55,"")</f>
        <v>Marseille</v>
      </c>
      <c r="CU46" s="5" t="str">
        <f>IF($BK46&lt;&gt;"",Gruppenphase!$I55,"")</f>
        <v/>
      </c>
      <c r="CV46" s="5" t="str">
        <f>IF($BK46&lt;&gt;"",Gruppenphase!$K55,"")</f>
        <v/>
      </c>
      <c r="CW46" s="5" t="str">
        <f>IF($BK46&lt;&gt;"",Gruppenphase!$M55,"")</f>
        <v/>
      </c>
    </row>
    <row r="47" spans="1:109" x14ac:dyDescent="0.2">
      <c r="BK47" s="5" t="str">
        <f>IF(AND(COUNTIF($AF$4:$AF$35,Gruppenphase!G56)&gt;0,COUNTIF($AF$4:$AF$35,Gruppenphase!M56)&gt;0,Gruppenphase!I56&lt;&gt;"",Gruppenphase!K56&lt;&gt;""),Gruppenphase!G56,"")</f>
        <v/>
      </c>
      <c r="BL47" s="5" t="str">
        <f>IF($BK47&lt;&gt;"",Gruppenphase!I56,"")</f>
        <v/>
      </c>
      <c r="BM47" s="5" t="str">
        <f>IF($BK47&lt;&gt;"",Gruppenphase!K56,"")</f>
        <v/>
      </c>
      <c r="BN47" s="5" t="str">
        <f>IF($BK47&lt;&gt;"",Gruppenphase!M56,"")</f>
        <v/>
      </c>
      <c r="CT47" s="5" t="str">
        <f>IF(AND(COUNTIF($AF$4:$AF$35,Gruppenphase!$G56)&gt;0,COUNTIF($AF$4:$AF$35,Gruppenphase!$M56)&gt;0),Gruppenphase!$G56,"")</f>
        <v>Olympiacos</v>
      </c>
      <c r="CU47" s="5" t="str">
        <f>IF($BK47&lt;&gt;"",Gruppenphase!$I56,"")</f>
        <v/>
      </c>
      <c r="CV47" s="5" t="str">
        <f>IF($BK47&lt;&gt;"",Gruppenphase!$K56,"")</f>
        <v/>
      </c>
      <c r="CW47" s="5" t="str">
        <f>IF($BK47&lt;&gt;"",Gruppenphase!$M56,"")</f>
        <v/>
      </c>
    </row>
    <row r="48" spans="1:109" x14ac:dyDescent="0.2">
      <c r="BK48" s="5" t="str">
        <f>IF(AND(COUNTIF($AF$4:$AF$35,Gruppenphase!G57)&gt;0,COUNTIF($AF$4:$AF$35,Gruppenphase!M57)&gt;0,Gruppenphase!I57&lt;&gt;"",Gruppenphase!K57&lt;&gt;""),Gruppenphase!G57,"")</f>
        <v/>
      </c>
      <c r="BL48" s="5" t="str">
        <f>IF($BK48&lt;&gt;"",Gruppenphase!I57,"")</f>
        <v/>
      </c>
      <c r="BM48" s="5" t="str">
        <f>IF($BK48&lt;&gt;"",Gruppenphase!K57,"")</f>
        <v/>
      </c>
      <c r="BN48" s="5" t="str">
        <f>IF($BK48&lt;&gt;"",Gruppenphase!M57,"")</f>
        <v/>
      </c>
      <c r="CT48" s="5" t="str">
        <f>IF(AND(COUNTIF($AF$4:$AF$35,Gruppenphase!$G57)&gt;0,COUNTIF($AF$4:$AF$35,Gruppenphase!$M57)&gt;0),Gruppenphase!$G57,"")</f>
        <v>Shakhtar Donetsk</v>
      </c>
      <c r="CU48" s="5" t="str">
        <f>IF($BK48&lt;&gt;"",Gruppenphase!$I57,"")</f>
        <v/>
      </c>
      <c r="CV48" s="5" t="str">
        <f>IF($BK48&lt;&gt;"",Gruppenphase!$K57,"")</f>
        <v/>
      </c>
      <c r="CW48" s="5" t="str">
        <f>IF($BK48&lt;&gt;"",Gruppenphase!$M57,"")</f>
        <v/>
      </c>
    </row>
    <row r="49" spans="63:101" x14ac:dyDescent="0.2">
      <c r="BK49" s="5" t="str">
        <f>IF(AND(COUNTIF($AF$4:$AF$35,Gruppenphase!G58)&gt;0,COUNTIF($AF$4:$AF$35,Gruppenphase!M58)&gt;0,Gruppenphase!I58&lt;&gt;"",Gruppenphase!K58&lt;&gt;""),Gruppenphase!G58,"")</f>
        <v/>
      </c>
      <c r="BL49" s="5" t="str">
        <f>IF($BK49&lt;&gt;"",Gruppenphase!I58,"")</f>
        <v/>
      </c>
      <c r="BM49" s="5" t="str">
        <f>IF($BK49&lt;&gt;"",Gruppenphase!K58,"")</f>
        <v/>
      </c>
      <c r="BN49" s="5" t="str">
        <f>IF($BK49&lt;&gt;"",Gruppenphase!M58,"")</f>
        <v/>
      </c>
      <c r="CT49" s="5" t="str">
        <f>IF(AND(COUNTIF($AF$4:$AF$35,Gruppenphase!$G58)&gt;0,COUNTIF($AF$4:$AF$35,Gruppenphase!$M58)&gt;0),Gruppenphase!$G58,"")</f>
        <v>Porto</v>
      </c>
      <c r="CU49" s="5" t="str">
        <f>IF($BK49&lt;&gt;"",Gruppenphase!$I58,"")</f>
        <v/>
      </c>
      <c r="CV49" s="5" t="str">
        <f>IF($BK49&lt;&gt;"",Gruppenphase!$K58,"")</f>
        <v/>
      </c>
      <c r="CW49" s="5" t="str">
        <f>IF($BK49&lt;&gt;"",Gruppenphase!$M58,"")</f>
        <v/>
      </c>
    </row>
    <row r="50" spans="63:101" x14ac:dyDescent="0.2">
      <c r="BK50" s="5" t="str">
        <f>IF(AND(COUNTIF($AF$4:$AF$35,Gruppenphase!G59)&gt;0,COUNTIF($AF$4:$AF$35,Gruppenphase!M59)&gt;0,Gruppenphase!I59&lt;&gt;"",Gruppenphase!K59&lt;&gt;""),Gruppenphase!G59,"")</f>
        <v/>
      </c>
      <c r="BL50" s="5" t="str">
        <f>IF($BK50&lt;&gt;"",Gruppenphase!I59,"")</f>
        <v/>
      </c>
      <c r="BM50" s="5" t="str">
        <f>IF($BK50&lt;&gt;"",Gruppenphase!K59,"")</f>
        <v/>
      </c>
      <c r="BN50" s="5" t="str">
        <f>IF($BK50&lt;&gt;"",Gruppenphase!M59,"")</f>
        <v/>
      </c>
      <c r="CT50" s="5" t="str">
        <f>IF(AND(COUNTIF($AF$4:$AF$35,Gruppenphase!$G59)&gt;0,COUNTIF($AF$4:$AF$35,Gruppenphase!$M59)&gt;0),Gruppenphase!$G59,"")</f>
        <v>AC Milan</v>
      </c>
      <c r="CU50" s="5" t="str">
        <f>IF($BK50&lt;&gt;"",Gruppenphase!$I59,"")</f>
        <v/>
      </c>
      <c r="CV50" s="5" t="str">
        <f>IF($BK50&lt;&gt;"",Gruppenphase!$K59,"")</f>
        <v/>
      </c>
      <c r="CW50" s="5" t="str">
        <f>IF($BK50&lt;&gt;"",Gruppenphase!$M59,"")</f>
        <v/>
      </c>
    </row>
    <row r="51" spans="63:101" x14ac:dyDescent="0.2">
      <c r="BK51" s="5" t="str">
        <f>IF(AND(COUNTIF($AF$4:$AF$35,Gruppenphase!G60)&gt;0,COUNTIF($AF$4:$AF$35,Gruppenphase!M60)&gt;0,Gruppenphase!I60&lt;&gt;"",Gruppenphase!K60&lt;&gt;""),Gruppenphase!G60,"")</f>
        <v/>
      </c>
      <c r="BL51" s="5" t="str">
        <f>IF($BK51&lt;&gt;"",Gruppenphase!I60,"")</f>
        <v/>
      </c>
      <c r="BM51" s="5" t="str">
        <f>IF($BK51&lt;&gt;"",Gruppenphase!K60,"")</f>
        <v/>
      </c>
      <c r="BN51" s="5" t="str">
        <f>IF($BK51&lt;&gt;"",Gruppenphase!M60,"")</f>
        <v/>
      </c>
      <c r="CT51" s="5" t="str">
        <f>IF(AND(COUNTIF($AF$4:$AF$35,Gruppenphase!$G60)&gt;0,COUNTIF($AF$4:$AF$35,Gruppenphase!$M60)&gt;0),Gruppenphase!$G60,"")</f>
        <v>Barcelona</v>
      </c>
      <c r="CU51" s="5" t="str">
        <f>IF($BK51&lt;&gt;"",Gruppenphase!$I60,"")</f>
        <v/>
      </c>
      <c r="CV51" s="5" t="str">
        <f>IF($BK51&lt;&gt;"",Gruppenphase!$K60,"")</f>
        <v/>
      </c>
      <c r="CW51" s="5" t="str">
        <f>IF($BK51&lt;&gt;"",Gruppenphase!$M60,"")</f>
        <v/>
      </c>
    </row>
    <row r="52" spans="63:101" x14ac:dyDescent="0.2">
      <c r="BK52" s="5" t="str">
        <f>IF(AND(COUNTIF($AF$4:$AF$35,Gruppenphase!G61)&gt;0,COUNTIF($AF$4:$AF$35,Gruppenphase!M61)&gt;0,Gruppenphase!I61&lt;&gt;"",Gruppenphase!K61&lt;&gt;""),Gruppenphase!G61,"")</f>
        <v/>
      </c>
      <c r="BL52" s="5" t="str">
        <f>IF($BK52&lt;&gt;"",Gruppenphase!I61,"")</f>
        <v/>
      </c>
      <c r="BM52" s="5" t="str">
        <f>IF($BK52&lt;&gt;"",Gruppenphase!K61,"")</f>
        <v/>
      </c>
      <c r="BN52" s="5" t="str">
        <f>IF($BK52&lt;&gt;"",Gruppenphase!M61,"")</f>
        <v/>
      </c>
      <c r="CT52" s="5" t="str">
        <f>IF(AND(COUNTIF($AF$4:$AF$35,Gruppenphase!$G61)&gt;0,COUNTIF($AF$4:$AF$35,Gruppenphase!$M61)&gt;0),Gruppenphase!$G61,"")</f>
        <v>Zenit St. Petersburg</v>
      </c>
      <c r="CU52" s="5" t="str">
        <f>IF($BK52&lt;&gt;"",Gruppenphase!$I61,"")</f>
        <v/>
      </c>
      <c r="CV52" s="5" t="str">
        <f>IF($BK52&lt;&gt;"",Gruppenphase!$K61,"")</f>
        <v/>
      </c>
      <c r="CW52" s="5" t="str">
        <f>IF($BK52&lt;&gt;"",Gruppenphase!$M61,"")</f>
        <v/>
      </c>
    </row>
    <row r="53" spans="63:101" x14ac:dyDescent="0.2">
      <c r="BK53" s="5" t="str">
        <f>IF(AND(COUNTIF($AF$4:$AF$35,Gruppenphase!G62)&gt;0,COUNTIF($AF$4:$AF$35,Gruppenphase!M62)&gt;0,Gruppenphase!I62&lt;&gt;"",Gruppenphase!K62&lt;&gt;""),Gruppenphase!G62,"")</f>
        <v/>
      </c>
      <c r="BL53" s="5" t="str">
        <f>IF($BK53&lt;&gt;"",Gruppenphase!I62,"")</f>
        <v/>
      </c>
      <c r="BM53" s="5" t="str">
        <f>IF($BK53&lt;&gt;"",Gruppenphase!K62,"")</f>
        <v/>
      </c>
      <c r="BN53" s="5" t="str">
        <f>IF($BK53&lt;&gt;"",Gruppenphase!M62,"")</f>
        <v/>
      </c>
      <c r="CT53" s="5" t="str">
        <f>IF(AND(COUNTIF($AF$4:$AF$35,Gruppenphase!$G62)&gt;0,COUNTIF($AF$4:$AF$35,Gruppenphase!$M62)&gt;0),Gruppenphase!$G62,"")</f>
        <v>Valencia</v>
      </c>
      <c r="CU53" s="5" t="str">
        <f>IF($BK53&lt;&gt;"",Gruppenphase!$I62,"")</f>
        <v/>
      </c>
      <c r="CV53" s="5" t="str">
        <f>IF($BK53&lt;&gt;"",Gruppenphase!$K62,"")</f>
        <v/>
      </c>
      <c r="CW53" s="5" t="str">
        <f>IF($BK53&lt;&gt;"",Gruppenphase!$M62,"")</f>
        <v/>
      </c>
    </row>
    <row r="54" spans="63:101" x14ac:dyDescent="0.2">
      <c r="BK54" s="5" t="str">
        <f>IF(AND(COUNTIF($AF$4:$AF$35,Gruppenphase!G63)&gt;0,COUNTIF($AF$4:$AF$35,Gruppenphase!M63)&gt;0,Gruppenphase!I63&lt;&gt;"",Gruppenphase!K63&lt;&gt;""),Gruppenphase!G63,"")</f>
        <v/>
      </c>
      <c r="BL54" s="5" t="str">
        <f>IF($BK54&lt;&gt;"",Gruppenphase!I63,"")</f>
        <v/>
      </c>
      <c r="BM54" s="5" t="str">
        <f>IF($BK54&lt;&gt;"",Gruppenphase!K63,"")</f>
        <v/>
      </c>
      <c r="BN54" s="5" t="str">
        <f>IF($BK54&lt;&gt;"",Gruppenphase!M63,"")</f>
        <v/>
      </c>
      <c r="CT54" s="5" t="str">
        <f>IF(AND(COUNTIF($AF$4:$AF$35,Gruppenphase!$G63)&gt;0,COUNTIF($AF$4:$AF$35,Gruppenphase!$M63)&gt;0),Gruppenphase!$G63,"")</f>
        <v>Genk</v>
      </c>
      <c r="CU54" s="5" t="str">
        <f>IF($BK54&lt;&gt;"",Gruppenphase!$I63,"")</f>
        <v/>
      </c>
      <c r="CV54" s="5" t="str">
        <f>IF($BK54&lt;&gt;"",Gruppenphase!$K63,"")</f>
        <v/>
      </c>
      <c r="CW54" s="5" t="str">
        <f>IF($BK54&lt;&gt;"",Gruppenphase!$M63,"")</f>
        <v/>
      </c>
    </row>
    <row r="55" spans="63:101" x14ac:dyDescent="0.2">
      <c r="BK55" s="5" t="str">
        <f>IF(AND(COUNTIF($AF$4:$AF$35,Gruppenphase!G64)&gt;0,COUNTIF($AF$4:$AF$35,Gruppenphase!M64)&gt;0,Gruppenphase!I64&lt;&gt;"",Gruppenphase!K64&lt;&gt;""),Gruppenphase!G64,"")</f>
        <v/>
      </c>
      <c r="BL55" s="5" t="str">
        <f>IF($BK55&lt;&gt;"",Gruppenphase!I64,"")</f>
        <v/>
      </c>
      <c r="BM55" s="5" t="str">
        <f>IF($BK55&lt;&gt;"",Gruppenphase!K64,"")</f>
        <v/>
      </c>
      <c r="BN55" s="5" t="str">
        <f>IF($BK55&lt;&gt;"",Gruppenphase!M64,"")</f>
        <v/>
      </c>
      <c r="CT55" s="5" t="str">
        <f>IF(AND(COUNTIF($AF$4:$AF$35,Gruppenphase!$G64)&gt;0,COUNTIF($AF$4:$AF$35,Gruppenphase!$M64)&gt;0),Gruppenphase!$G64,"")</f>
        <v>Arsenal</v>
      </c>
      <c r="CU55" s="5" t="str">
        <f>IF($BK55&lt;&gt;"",Gruppenphase!$I64,"")</f>
        <v/>
      </c>
      <c r="CV55" s="5" t="str">
        <f>IF($BK55&lt;&gt;"",Gruppenphase!$K64,"")</f>
        <v/>
      </c>
      <c r="CW55" s="5" t="str">
        <f>IF($BK55&lt;&gt;"",Gruppenphase!$M64,"")</f>
        <v/>
      </c>
    </row>
    <row r="56" spans="63:101" x14ac:dyDescent="0.2">
      <c r="BK56" s="5" t="str">
        <f>IF(AND(COUNTIF($AF$4:$AF$35,Gruppenphase!G65)&gt;0,COUNTIF($AF$4:$AF$35,Gruppenphase!M65)&gt;0,Gruppenphase!I65&lt;&gt;"",Gruppenphase!K65&lt;&gt;""),Gruppenphase!G65,"")</f>
        <v/>
      </c>
      <c r="BL56" s="5" t="str">
        <f>IF($BK56&lt;&gt;"",Gruppenphase!I65,"")</f>
        <v/>
      </c>
      <c r="BM56" s="5" t="str">
        <f>IF($BK56&lt;&gt;"",Gruppenphase!K65,"")</f>
        <v/>
      </c>
      <c r="BN56" s="5" t="str">
        <f>IF($BK56&lt;&gt;"",Gruppenphase!M65,"")</f>
        <v/>
      </c>
      <c r="CT56" s="5" t="str">
        <f>IF(AND(COUNTIF($AF$4:$AF$35,Gruppenphase!$G65)&gt;0,COUNTIF($AF$4:$AF$35,Gruppenphase!$M65)&gt;0),Gruppenphase!$G65,"")</f>
        <v>Borussia Dortmund</v>
      </c>
      <c r="CU56" s="5" t="str">
        <f>IF($BK56&lt;&gt;"",Gruppenphase!$I65,"")</f>
        <v/>
      </c>
      <c r="CV56" s="5" t="str">
        <f>IF($BK56&lt;&gt;"",Gruppenphase!$K65,"")</f>
        <v/>
      </c>
      <c r="CW56" s="5" t="str">
        <f>IF($BK56&lt;&gt;"",Gruppenphase!$M65,"")</f>
        <v/>
      </c>
    </row>
    <row r="57" spans="63:101" x14ac:dyDescent="0.2">
      <c r="BK57" s="5" t="str">
        <f>IF(AND(COUNTIF($AF$4:$AF$35,Gruppenphase!G66)&gt;0,COUNTIF($AF$4:$AF$35,Gruppenphase!M66)&gt;0,Gruppenphase!I66&lt;&gt;"",Gruppenphase!K66&lt;&gt;""),Gruppenphase!G66,"")</f>
        <v/>
      </c>
      <c r="BL57" s="5" t="str">
        <f>IF($BK57&lt;&gt;"",Gruppenphase!I66,"")</f>
        <v/>
      </c>
      <c r="BM57" s="5" t="str">
        <f>IF($BK57&lt;&gt;"",Gruppenphase!K66,"")</f>
        <v/>
      </c>
      <c r="BN57" s="5" t="str">
        <f>IF($BK57&lt;&gt;"",Gruppenphase!M66,"")</f>
        <v/>
      </c>
      <c r="CT57" s="5" t="str">
        <f>IF(AND(COUNTIF($AF$4:$AF$35,Gruppenphase!$G66)&gt;0,COUNTIF($AF$4:$AF$35,Gruppenphase!$M66)&gt;0),Gruppenphase!$G66,"")</f>
        <v>APOEL</v>
      </c>
      <c r="CU57" s="5" t="str">
        <f>IF($BK57&lt;&gt;"",Gruppenphase!$I66,"")</f>
        <v/>
      </c>
      <c r="CV57" s="5" t="str">
        <f>IF($BK57&lt;&gt;"",Gruppenphase!$K66,"")</f>
        <v/>
      </c>
      <c r="CW57" s="5" t="str">
        <f>IF($BK57&lt;&gt;"",Gruppenphase!$M66,"")</f>
        <v/>
      </c>
    </row>
    <row r="58" spans="63:101" x14ac:dyDescent="0.2">
      <c r="BK58" s="5" t="str">
        <f>IF(AND(COUNTIF($AF$4:$AF$35,Gruppenphase!G67)&gt;0,COUNTIF($AF$4:$AF$35,Gruppenphase!M67)&gt;0,Gruppenphase!I67&lt;&gt;"",Gruppenphase!K67&lt;&gt;""),Gruppenphase!G67,"")</f>
        <v/>
      </c>
      <c r="BL58" s="5" t="str">
        <f>IF($BK58&lt;&gt;"",Gruppenphase!I67,"")</f>
        <v/>
      </c>
      <c r="BM58" s="5" t="str">
        <f>IF($BK58&lt;&gt;"",Gruppenphase!K67,"")</f>
        <v/>
      </c>
      <c r="BN58" s="5" t="str">
        <f>IF($BK58&lt;&gt;"",Gruppenphase!M67,"")</f>
        <v/>
      </c>
      <c r="CT58" s="5" t="str">
        <f>IF(AND(COUNTIF($AF$4:$AF$35,Gruppenphase!$G67)&gt;0,COUNTIF($AF$4:$AF$35,Gruppenphase!$M67)&gt;0),Gruppenphase!$G67,"")</f>
        <v>Bate Borisov</v>
      </c>
      <c r="CU58" s="5" t="str">
        <f>IF($BK58&lt;&gt;"",Gruppenphase!$I67,"")</f>
        <v/>
      </c>
      <c r="CV58" s="5" t="str">
        <f>IF($BK58&lt;&gt;"",Gruppenphase!$K67,"")</f>
        <v/>
      </c>
      <c r="CW58" s="5" t="str">
        <f>IF($BK58&lt;&gt;"",Gruppenphase!$M67,"")</f>
        <v/>
      </c>
    </row>
    <row r="59" spans="63:101" x14ac:dyDescent="0.2">
      <c r="BK59" s="5" t="str">
        <f>IF(AND(COUNTIF($AF$4:$AF$35,Gruppenphase!G68)&gt;0,COUNTIF($AF$4:$AF$35,Gruppenphase!M68)&gt;0,Gruppenphase!I68&lt;&gt;"",Gruppenphase!K68&lt;&gt;""),Gruppenphase!G68,"")</f>
        <v/>
      </c>
      <c r="BL59" s="5" t="str">
        <f>IF($BK59&lt;&gt;"",Gruppenphase!I68,"")</f>
        <v/>
      </c>
      <c r="BM59" s="5" t="str">
        <f>IF($BK59&lt;&gt;"",Gruppenphase!K68,"")</f>
        <v/>
      </c>
      <c r="BN59" s="5" t="str">
        <f>IF($BK59&lt;&gt;"",Gruppenphase!M68,"")</f>
        <v/>
      </c>
      <c r="CT59" s="5" t="str">
        <f>IF(AND(COUNTIF($AF$4:$AF$35,Gruppenphase!$G68)&gt;0,COUNTIF($AF$4:$AF$35,Gruppenphase!$M68)&gt;0),Gruppenphase!$G68,"")</f>
        <v>Viktoria Plzeň</v>
      </c>
      <c r="CU59" s="5" t="str">
        <f>IF($BK59&lt;&gt;"",Gruppenphase!$I68,"")</f>
        <v/>
      </c>
      <c r="CV59" s="5" t="str">
        <f>IF($BK59&lt;&gt;"",Gruppenphase!$K68,"")</f>
        <v/>
      </c>
      <c r="CW59" s="5" t="str">
        <f>IF($BK59&lt;&gt;"",Gruppenphase!$M68,"")</f>
        <v/>
      </c>
    </row>
    <row r="60" spans="63:101" x14ac:dyDescent="0.2">
      <c r="BK60" s="5" t="str">
        <f>IF(AND(COUNTIF($AF$4:$AF$35,Gruppenphase!G69)&gt;0,COUNTIF($AF$4:$AF$35,Gruppenphase!M69)&gt;0,Gruppenphase!I69&lt;&gt;"",Gruppenphase!K69&lt;&gt;""),Gruppenphase!G69,"")</f>
        <v/>
      </c>
      <c r="BL60" s="5" t="str">
        <f>IF($BK60&lt;&gt;"",Gruppenphase!I69,"")</f>
        <v/>
      </c>
      <c r="BM60" s="5" t="str">
        <f>IF($BK60&lt;&gt;"",Gruppenphase!K69,"")</f>
        <v/>
      </c>
      <c r="BN60" s="5" t="str">
        <f>IF($BK60&lt;&gt;"",Gruppenphase!M69,"")</f>
        <v/>
      </c>
      <c r="CT60" s="5" t="str">
        <f>IF(AND(COUNTIF($AF$4:$AF$35,Gruppenphase!$G69)&gt;0,COUNTIF($AF$4:$AF$35,Gruppenphase!$M69)&gt;0),Gruppenphase!$G69,"")</f>
        <v>Bayern München</v>
      </c>
      <c r="CU60" s="5" t="str">
        <f>IF($BK60&lt;&gt;"",Gruppenphase!$I69,"")</f>
        <v/>
      </c>
      <c r="CV60" s="5" t="str">
        <f>IF($BK60&lt;&gt;"",Gruppenphase!$K69,"")</f>
        <v/>
      </c>
      <c r="CW60" s="5" t="str">
        <f>IF($BK60&lt;&gt;"",Gruppenphase!$M69,"")</f>
        <v/>
      </c>
    </row>
    <row r="61" spans="63:101" x14ac:dyDescent="0.2">
      <c r="BK61" s="5" t="str">
        <f>IF(AND(COUNTIF($AF$4:$AF$35,Gruppenphase!G70)&gt;0,COUNTIF($AF$4:$AF$35,Gruppenphase!M70)&gt;0,Gruppenphase!I70&lt;&gt;"",Gruppenphase!K70&lt;&gt;""),Gruppenphase!G70,"")</f>
        <v/>
      </c>
      <c r="BL61" s="5" t="str">
        <f>IF($BK61&lt;&gt;"",Gruppenphase!I70,"")</f>
        <v/>
      </c>
      <c r="BM61" s="5" t="str">
        <f>IF($BK61&lt;&gt;"",Gruppenphase!K70,"")</f>
        <v/>
      </c>
      <c r="BN61" s="5" t="str">
        <f>IF($BK61&lt;&gt;"",Gruppenphase!M70,"")</f>
        <v/>
      </c>
      <c r="CT61" s="5" t="str">
        <f>IF(AND(COUNTIF($AF$4:$AF$35,Gruppenphase!$G70)&gt;0,COUNTIF($AF$4:$AF$35,Gruppenphase!$M70)&gt;0),Gruppenphase!$G70,"")</f>
        <v>Villarreal</v>
      </c>
      <c r="CU61" s="5" t="str">
        <f>IF($BK61&lt;&gt;"",Gruppenphase!$I70,"")</f>
        <v/>
      </c>
      <c r="CV61" s="5" t="str">
        <f>IF($BK61&lt;&gt;"",Gruppenphase!$K70,"")</f>
        <v/>
      </c>
      <c r="CW61" s="5" t="str">
        <f>IF($BK61&lt;&gt;"",Gruppenphase!$M70,"")</f>
        <v/>
      </c>
    </row>
    <row r="62" spans="63:101" x14ac:dyDescent="0.2">
      <c r="BK62" s="5" t="str">
        <f>IF(AND(COUNTIF($AF$4:$AF$35,Gruppenphase!G71)&gt;0,COUNTIF($AF$4:$AF$35,Gruppenphase!M71)&gt;0,Gruppenphase!I71&lt;&gt;"",Gruppenphase!K71&lt;&gt;""),Gruppenphase!G71,"")</f>
        <v/>
      </c>
      <c r="BL62" s="5" t="str">
        <f>IF($BK62&lt;&gt;"",Gruppenphase!I71,"")</f>
        <v/>
      </c>
      <c r="BM62" s="5" t="str">
        <f>IF($BK62&lt;&gt;"",Gruppenphase!K71,"")</f>
        <v/>
      </c>
      <c r="BN62" s="5" t="str">
        <f>IF($BK62&lt;&gt;"",Gruppenphase!M71,"")</f>
        <v/>
      </c>
      <c r="CT62" s="5" t="str">
        <f>IF(AND(COUNTIF($AF$4:$AF$35,Gruppenphase!$G71)&gt;0,COUNTIF($AF$4:$AF$35,Gruppenphase!$M71)&gt;0),Gruppenphase!$G71,"")</f>
        <v>Trabzonspor</v>
      </c>
      <c r="CU62" s="5" t="str">
        <f>IF($BK62&lt;&gt;"",Gruppenphase!$I71,"")</f>
        <v/>
      </c>
      <c r="CV62" s="5" t="str">
        <f>IF($BK62&lt;&gt;"",Gruppenphase!$K71,"")</f>
        <v/>
      </c>
      <c r="CW62" s="5" t="str">
        <f>IF($BK62&lt;&gt;"",Gruppenphase!$M71,"")</f>
        <v/>
      </c>
    </row>
    <row r="63" spans="63:101" x14ac:dyDescent="0.2">
      <c r="BK63" s="5" t="str">
        <f>IF(AND(COUNTIF($AF$4:$AF$35,Gruppenphase!G72)&gt;0,COUNTIF($AF$4:$AF$35,Gruppenphase!M72)&gt;0,Gruppenphase!I72&lt;&gt;"",Gruppenphase!K72&lt;&gt;""),Gruppenphase!G72,"")</f>
        <v/>
      </c>
      <c r="BL63" s="5" t="str">
        <f>IF($BK63&lt;&gt;"",Gruppenphase!I72,"")</f>
        <v/>
      </c>
      <c r="BM63" s="5" t="str">
        <f>IF($BK63&lt;&gt;"",Gruppenphase!K72,"")</f>
        <v/>
      </c>
      <c r="BN63" s="5" t="str">
        <f>IF($BK63&lt;&gt;"",Gruppenphase!M72,"")</f>
        <v/>
      </c>
      <c r="CT63" s="5" t="str">
        <f>IF(AND(COUNTIF($AF$4:$AF$35,Gruppenphase!$G72)&gt;0,COUNTIF($AF$4:$AF$35,Gruppenphase!$M72)&gt;0),Gruppenphase!$G72,"")</f>
        <v>Internazionale</v>
      </c>
      <c r="CU63" s="5" t="str">
        <f>IF($BK63&lt;&gt;"",Gruppenphase!$I72,"")</f>
        <v/>
      </c>
      <c r="CV63" s="5" t="str">
        <f>IF($BK63&lt;&gt;"",Gruppenphase!$K72,"")</f>
        <v/>
      </c>
      <c r="CW63" s="5" t="str">
        <f>IF($BK63&lt;&gt;"",Gruppenphase!$M72,"")</f>
        <v/>
      </c>
    </row>
    <row r="64" spans="63:101" x14ac:dyDescent="0.2">
      <c r="BK64" s="5" t="str">
        <f>IF(AND(COUNTIF($AF$4:$AF$35,Gruppenphase!G73)&gt;0,COUNTIF($AF$4:$AF$35,Gruppenphase!M73)&gt;0,Gruppenphase!I73&lt;&gt;"",Gruppenphase!K73&lt;&gt;""),Gruppenphase!G73,"")</f>
        <v/>
      </c>
      <c r="BL64" s="5" t="str">
        <f>IF($BK64&lt;&gt;"",Gruppenphase!I73,"")</f>
        <v/>
      </c>
      <c r="BM64" s="5" t="str">
        <f>IF($BK64&lt;&gt;"",Gruppenphase!K73,"")</f>
        <v/>
      </c>
      <c r="BN64" s="5" t="str">
        <f>IF($BK64&lt;&gt;"",Gruppenphase!M73,"")</f>
        <v/>
      </c>
      <c r="CT64" s="5" t="str">
        <f>IF(AND(COUNTIF($AF$4:$AF$35,Gruppenphase!$G73)&gt;0,COUNTIF($AF$4:$AF$35,Gruppenphase!$M73)&gt;0),Gruppenphase!$G73,"")</f>
        <v>Manchester United</v>
      </c>
      <c r="CU64" s="5" t="str">
        <f>IF($BK64&lt;&gt;"",Gruppenphase!$I73,"")</f>
        <v/>
      </c>
      <c r="CV64" s="5" t="str">
        <f>IF($BK64&lt;&gt;"",Gruppenphase!$K73,"")</f>
        <v/>
      </c>
      <c r="CW64" s="5" t="str">
        <f>IF($BK64&lt;&gt;"",Gruppenphase!$M73,"")</f>
        <v/>
      </c>
    </row>
    <row r="65" spans="63:101" x14ac:dyDescent="0.2">
      <c r="BK65" s="5" t="str">
        <f>IF(AND(COUNTIF($AF$4:$AF$35,Gruppenphase!G74)&gt;0,COUNTIF($AF$4:$AF$35,Gruppenphase!M74)&gt;0,Gruppenphase!I74&lt;&gt;"",Gruppenphase!K74&lt;&gt;""),Gruppenphase!G74,"")</f>
        <v/>
      </c>
      <c r="BL65" s="5" t="str">
        <f>IF($BK65&lt;&gt;"",Gruppenphase!I74,"")</f>
        <v/>
      </c>
      <c r="BM65" s="5" t="str">
        <f>IF($BK65&lt;&gt;"",Gruppenphase!K74,"")</f>
        <v/>
      </c>
      <c r="BN65" s="5" t="str">
        <f>IF($BK65&lt;&gt;"",Gruppenphase!M74,"")</f>
        <v/>
      </c>
      <c r="CT65" s="5" t="str">
        <f>IF(AND(COUNTIF($AF$4:$AF$35,Gruppenphase!$G74)&gt;0,COUNTIF($AF$4:$AF$35,Gruppenphase!$M74)&gt;0),Gruppenphase!$G74,"")</f>
        <v>Benfica</v>
      </c>
      <c r="CU65" s="5" t="str">
        <f>IF($BK65&lt;&gt;"",Gruppenphase!$I74,"")</f>
        <v/>
      </c>
      <c r="CV65" s="5" t="str">
        <f>IF($BK65&lt;&gt;"",Gruppenphase!$K74,"")</f>
        <v/>
      </c>
      <c r="CW65" s="5" t="str">
        <f>IF($BK65&lt;&gt;"",Gruppenphase!$M74,"")</f>
        <v/>
      </c>
    </row>
    <row r="66" spans="63:101" x14ac:dyDescent="0.2">
      <c r="BK66" s="5" t="str">
        <f>IF(AND(COUNTIF($AF$4:$AF$35,Gruppenphase!G75)&gt;0,COUNTIF($AF$4:$AF$35,Gruppenphase!M75)&gt;0,Gruppenphase!I75&lt;&gt;"",Gruppenphase!K75&lt;&gt;""),Gruppenphase!G75,"")</f>
        <v/>
      </c>
      <c r="BL66" s="5" t="str">
        <f>IF($BK66&lt;&gt;"",Gruppenphase!I75,"")</f>
        <v/>
      </c>
      <c r="BM66" s="5" t="str">
        <f>IF($BK66&lt;&gt;"",Gruppenphase!K75,"")</f>
        <v/>
      </c>
      <c r="BN66" s="5" t="str">
        <f>IF($BK66&lt;&gt;"",Gruppenphase!M75,"")</f>
        <v/>
      </c>
      <c r="CT66" s="5" t="str">
        <f>IF(AND(COUNTIF($AF$4:$AF$35,Gruppenphase!$G75)&gt;0,COUNTIF($AF$4:$AF$35,Gruppenphase!$M75)&gt;0),Gruppenphase!$G75,"")</f>
        <v>Lyon</v>
      </c>
      <c r="CU66" s="5" t="str">
        <f>IF($BK66&lt;&gt;"",Gruppenphase!$I75,"")</f>
        <v/>
      </c>
      <c r="CV66" s="5" t="str">
        <f>IF($BK66&lt;&gt;"",Gruppenphase!$K75,"")</f>
        <v/>
      </c>
      <c r="CW66" s="5" t="str">
        <f>IF($BK66&lt;&gt;"",Gruppenphase!$M75,"")</f>
        <v/>
      </c>
    </row>
    <row r="67" spans="63:101" x14ac:dyDescent="0.2">
      <c r="BK67" s="5" t="str">
        <f>IF(AND(COUNTIF($AF$4:$AF$35,Gruppenphase!G76)&gt;0,COUNTIF($AF$4:$AF$35,Gruppenphase!M76)&gt;0,Gruppenphase!I76&lt;&gt;"",Gruppenphase!K76&lt;&gt;""),Gruppenphase!G76,"")</f>
        <v/>
      </c>
      <c r="BL67" s="5" t="str">
        <f>IF($BK67&lt;&gt;"",Gruppenphase!I76,"")</f>
        <v/>
      </c>
      <c r="BM67" s="5" t="str">
        <f>IF($BK67&lt;&gt;"",Gruppenphase!K76,"")</f>
        <v/>
      </c>
      <c r="BN67" s="5" t="str">
        <f>IF($BK67&lt;&gt;"",Gruppenphase!M76,"")</f>
        <v/>
      </c>
      <c r="CT67" s="5" t="str">
        <f>IF(AND(COUNTIF($AF$4:$AF$35,Gruppenphase!$G76)&gt;0,COUNTIF($AF$4:$AF$35,Gruppenphase!$M76)&gt;0),Gruppenphase!$G76,"")</f>
        <v>Ajax</v>
      </c>
      <c r="CU67" s="5" t="str">
        <f>IF($BK67&lt;&gt;"",Gruppenphase!$I76,"")</f>
        <v/>
      </c>
      <c r="CV67" s="5" t="str">
        <f>IF($BK67&lt;&gt;"",Gruppenphase!$K76,"")</f>
        <v/>
      </c>
      <c r="CW67" s="5" t="str">
        <f>IF($BK67&lt;&gt;"",Gruppenphase!$M76,"")</f>
        <v/>
      </c>
    </row>
    <row r="68" spans="63:101" x14ac:dyDescent="0.2">
      <c r="BK68" s="5" t="str">
        <f>IF(AND(COUNTIF($AF$4:$AF$35,Gruppenphase!G77)&gt;0,COUNTIF($AF$4:$AF$35,Gruppenphase!M77)&gt;0,Gruppenphase!I77&lt;&gt;"",Gruppenphase!K77&lt;&gt;""),Gruppenphase!G77,"")</f>
        <v/>
      </c>
      <c r="BL68" s="5" t="str">
        <f>IF($BK68&lt;&gt;"",Gruppenphase!I77,"")</f>
        <v/>
      </c>
      <c r="BM68" s="5" t="str">
        <f>IF($BK68&lt;&gt;"",Gruppenphase!K77,"")</f>
        <v/>
      </c>
      <c r="BN68" s="5" t="str">
        <f>IF($BK68&lt;&gt;"",Gruppenphase!M77,"")</f>
        <v/>
      </c>
      <c r="CT68" s="5" t="str">
        <f>IF(AND(COUNTIF($AF$4:$AF$35,Gruppenphase!$G77)&gt;0,COUNTIF($AF$4:$AF$35,Gruppenphase!$M77)&gt;0),Gruppenphase!$G77,"")</f>
        <v>CSKA Moscow</v>
      </c>
      <c r="CU68" s="5" t="str">
        <f>IF($BK68&lt;&gt;"",Gruppenphase!$I77,"")</f>
        <v/>
      </c>
      <c r="CV68" s="5" t="str">
        <f>IF($BK68&lt;&gt;"",Gruppenphase!$K77,"")</f>
        <v/>
      </c>
      <c r="CW68" s="5" t="str">
        <f>IF($BK68&lt;&gt;"",Gruppenphase!$M77,"")</f>
        <v/>
      </c>
    </row>
    <row r="69" spans="63:101" x14ac:dyDescent="0.2">
      <c r="BK69" s="5" t="str">
        <f>IF(AND(COUNTIF($AF$4:$AF$35,Gruppenphase!G78)&gt;0,COUNTIF($AF$4:$AF$35,Gruppenphase!M78)&gt;0,Gruppenphase!I78&lt;&gt;"",Gruppenphase!K78&lt;&gt;""),Gruppenphase!G78,"")</f>
        <v/>
      </c>
      <c r="BL69" s="5" t="str">
        <f>IF($BK69&lt;&gt;"",Gruppenphase!I78,"")</f>
        <v/>
      </c>
      <c r="BM69" s="5" t="str">
        <f>IF($BK69&lt;&gt;"",Gruppenphase!K78,"")</f>
        <v/>
      </c>
      <c r="BN69" s="5" t="str">
        <f>IF($BK69&lt;&gt;"",Gruppenphase!M78,"")</f>
        <v/>
      </c>
      <c r="CT69" s="5" t="str">
        <f>IF(AND(COUNTIF($AF$4:$AF$35,Gruppenphase!$G78)&gt;0,COUNTIF($AF$4:$AF$35,Gruppenphase!$M78)&gt;0),Gruppenphase!$G78,"")</f>
        <v>Napoli</v>
      </c>
      <c r="CU69" s="5" t="str">
        <f>IF($BK69&lt;&gt;"",Gruppenphase!$I78,"")</f>
        <v/>
      </c>
      <c r="CV69" s="5" t="str">
        <f>IF($BK69&lt;&gt;"",Gruppenphase!$K78,"")</f>
        <v/>
      </c>
      <c r="CW69" s="5" t="str">
        <f>IF($BK69&lt;&gt;"",Gruppenphase!$M78,"")</f>
        <v/>
      </c>
    </row>
    <row r="70" spans="63:101" x14ac:dyDescent="0.2">
      <c r="BK70" s="5" t="str">
        <f>IF(AND(COUNTIF($AF$4:$AF$35,Gruppenphase!G79)&gt;0,COUNTIF($AF$4:$AF$35,Gruppenphase!M79)&gt;0,Gruppenphase!I79&lt;&gt;"",Gruppenphase!K79&lt;&gt;""),Gruppenphase!G79,"")</f>
        <v/>
      </c>
      <c r="BL70" s="5" t="str">
        <f>IF($BK70&lt;&gt;"",Gruppenphase!I79,"")</f>
        <v/>
      </c>
      <c r="BM70" s="5" t="str">
        <f>IF($BK70&lt;&gt;"",Gruppenphase!K79,"")</f>
        <v/>
      </c>
      <c r="BN70" s="5" t="str">
        <f>IF($BK70&lt;&gt;"",Gruppenphase!M79,"")</f>
        <v/>
      </c>
      <c r="CT70" s="5" t="str">
        <f>IF(AND(COUNTIF($AF$4:$AF$35,Gruppenphase!$G79)&gt;0,COUNTIF($AF$4:$AF$35,Gruppenphase!$M79)&gt;0),Gruppenphase!$G79,"")</f>
        <v>Bayern München</v>
      </c>
      <c r="CU70" s="5" t="str">
        <f>IF($BK70&lt;&gt;"",Gruppenphase!$I79,"")</f>
        <v/>
      </c>
      <c r="CV70" s="5" t="str">
        <f>IF($BK70&lt;&gt;"",Gruppenphase!$K79,"")</f>
        <v/>
      </c>
      <c r="CW70" s="5" t="str">
        <f>IF($BK70&lt;&gt;"",Gruppenphase!$M79,"")</f>
        <v/>
      </c>
    </row>
    <row r="71" spans="63:101" x14ac:dyDescent="0.2">
      <c r="BK71" s="5" t="str">
        <f>IF(AND(COUNTIF($AF$4:$AF$35,Gruppenphase!G80)&gt;0,COUNTIF($AF$4:$AF$35,Gruppenphase!M80)&gt;0,Gruppenphase!I80&lt;&gt;"",Gruppenphase!K80&lt;&gt;""),Gruppenphase!G80,"")</f>
        <v/>
      </c>
      <c r="BL71" s="5" t="str">
        <f>IF($BK71&lt;&gt;"",Gruppenphase!I80,"")</f>
        <v/>
      </c>
      <c r="BM71" s="5" t="str">
        <f>IF($BK71&lt;&gt;"",Gruppenphase!K80,"")</f>
        <v/>
      </c>
      <c r="BN71" s="5" t="str">
        <f>IF($BK71&lt;&gt;"",Gruppenphase!M80,"")</f>
        <v/>
      </c>
      <c r="CT71" s="5" t="str">
        <f>IF(AND(COUNTIF($AF$4:$AF$35,Gruppenphase!$G80)&gt;0,COUNTIF($AF$4:$AF$35,Gruppenphase!$M80)&gt;0),Gruppenphase!$G80,"")</f>
        <v>Trabzonspor</v>
      </c>
      <c r="CU71" s="5" t="str">
        <f>IF($BK71&lt;&gt;"",Gruppenphase!$I80,"")</f>
        <v/>
      </c>
      <c r="CV71" s="5" t="str">
        <f>IF($BK71&lt;&gt;"",Gruppenphase!$K80,"")</f>
        <v/>
      </c>
      <c r="CW71" s="5" t="str">
        <f>IF($BK71&lt;&gt;"",Gruppenphase!$M80,"")</f>
        <v/>
      </c>
    </row>
    <row r="72" spans="63:101" x14ac:dyDescent="0.2">
      <c r="BK72" s="5" t="str">
        <f>IF(AND(COUNTIF($AF$4:$AF$35,Gruppenphase!G81)&gt;0,COUNTIF($AF$4:$AF$35,Gruppenphase!M81)&gt;0,Gruppenphase!I81&lt;&gt;"",Gruppenphase!K81&lt;&gt;""),Gruppenphase!G81,"")</f>
        <v/>
      </c>
      <c r="BL72" s="5" t="str">
        <f>IF($BK72&lt;&gt;"",Gruppenphase!I81,"")</f>
        <v/>
      </c>
      <c r="BM72" s="5" t="str">
        <f>IF($BK72&lt;&gt;"",Gruppenphase!K81,"")</f>
        <v/>
      </c>
      <c r="BN72" s="5" t="str">
        <f>IF($BK72&lt;&gt;"",Gruppenphase!M81,"")</f>
        <v/>
      </c>
      <c r="CT72" s="5" t="str">
        <f>IF(AND(COUNTIF($AF$4:$AF$35,Gruppenphase!$G81)&gt;0,COUNTIF($AF$4:$AF$35,Gruppenphase!$M81)&gt;0),Gruppenphase!$G81,"")</f>
        <v>Oţelul Galaţi</v>
      </c>
      <c r="CU72" s="5" t="str">
        <f>IF($BK72&lt;&gt;"",Gruppenphase!$I81,"")</f>
        <v/>
      </c>
      <c r="CV72" s="5" t="str">
        <f>IF($BK72&lt;&gt;"",Gruppenphase!$K81,"")</f>
        <v/>
      </c>
      <c r="CW72" s="5" t="str">
        <f>IF($BK72&lt;&gt;"",Gruppenphase!$M81,"")</f>
        <v/>
      </c>
    </row>
    <row r="73" spans="63:101" x14ac:dyDescent="0.2">
      <c r="BK73" s="5" t="str">
        <f>IF(AND(COUNTIF($AF$4:$AF$35,Gruppenphase!G82)&gt;0,COUNTIF($AF$4:$AF$35,Gruppenphase!M82)&gt;0,Gruppenphase!I82&lt;&gt;"",Gruppenphase!K82&lt;&gt;""),Gruppenphase!G82,"")</f>
        <v/>
      </c>
      <c r="BL73" s="5" t="str">
        <f>IF($BK73&lt;&gt;"",Gruppenphase!I82,"")</f>
        <v/>
      </c>
      <c r="BM73" s="5" t="str">
        <f>IF($BK73&lt;&gt;"",Gruppenphase!K82,"")</f>
        <v/>
      </c>
      <c r="BN73" s="5" t="str">
        <f>IF($BK73&lt;&gt;"",Gruppenphase!M82,"")</f>
        <v/>
      </c>
      <c r="CT73" s="5" t="str">
        <f>IF(AND(COUNTIF($AF$4:$AF$35,Gruppenphase!$G82)&gt;0,COUNTIF($AF$4:$AF$35,Gruppenphase!$M82)&gt;0),Gruppenphase!$G82,"")</f>
        <v>Manchester United</v>
      </c>
      <c r="CU73" s="5" t="str">
        <f>IF($BK73&lt;&gt;"",Gruppenphase!$I82,"")</f>
        <v/>
      </c>
      <c r="CV73" s="5" t="str">
        <f>IF($BK73&lt;&gt;"",Gruppenphase!$K82,"")</f>
        <v/>
      </c>
      <c r="CW73" s="5" t="str">
        <f>IF($BK73&lt;&gt;"",Gruppenphase!$M82,"")</f>
        <v/>
      </c>
    </row>
    <row r="74" spans="63:101" x14ac:dyDescent="0.2">
      <c r="BK74" s="5" t="str">
        <f>IF(AND(COUNTIF($AF$4:$AF$35,Gruppenphase!G83)&gt;0,COUNTIF($AF$4:$AF$35,Gruppenphase!M83)&gt;0,Gruppenphase!I83&lt;&gt;"",Gruppenphase!K83&lt;&gt;""),Gruppenphase!G83,"")</f>
        <v/>
      </c>
      <c r="BL74" s="5" t="str">
        <f>IF($BK74&lt;&gt;"",Gruppenphase!I83,"")</f>
        <v/>
      </c>
      <c r="BM74" s="5" t="str">
        <f>IF($BK74&lt;&gt;"",Gruppenphase!K83,"")</f>
        <v/>
      </c>
      <c r="BN74" s="5" t="str">
        <f>IF($BK74&lt;&gt;"",Gruppenphase!M83,"")</f>
        <v/>
      </c>
      <c r="CT74" s="5" t="str">
        <f>IF(AND(COUNTIF($AF$4:$AF$35,Gruppenphase!$G83)&gt;0,COUNTIF($AF$4:$AF$35,Gruppenphase!$M83)&gt;0),Gruppenphase!$G83,"")</f>
        <v>Real Madrid</v>
      </c>
      <c r="CU74" s="5" t="str">
        <f>IF($BK74&lt;&gt;"",Gruppenphase!$I83,"")</f>
        <v/>
      </c>
      <c r="CV74" s="5" t="str">
        <f>IF($BK74&lt;&gt;"",Gruppenphase!$K83,"")</f>
        <v/>
      </c>
      <c r="CW74" s="5" t="str">
        <f>IF($BK74&lt;&gt;"",Gruppenphase!$M83,"")</f>
        <v/>
      </c>
    </row>
    <row r="75" spans="63:101" x14ac:dyDescent="0.2">
      <c r="BK75" s="5" t="str">
        <f>IF(AND(COUNTIF($AF$4:$AF$35,Gruppenphase!G84)&gt;0,COUNTIF($AF$4:$AF$35,Gruppenphase!M84)&gt;0,Gruppenphase!I84&lt;&gt;"",Gruppenphase!K84&lt;&gt;""),Gruppenphase!G84,"")</f>
        <v/>
      </c>
      <c r="BL75" s="5" t="str">
        <f>IF($BK75&lt;&gt;"",Gruppenphase!I84,"")</f>
        <v/>
      </c>
      <c r="BM75" s="5" t="str">
        <f>IF($BK75&lt;&gt;"",Gruppenphase!K84,"")</f>
        <v/>
      </c>
      <c r="BN75" s="5" t="str">
        <f>IF($BK75&lt;&gt;"",Gruppenphase!M84,"")</f>
        <v/>
      </c>
      <c r="CT75" s="5" t="str">
        <f>IF(AND(COUNTIF($AF$4:$AF$35,Gruppenphase!$G84)&gt;0,COUNTIF($AF$4:$AF$35,Gruppenphase!$M84)&gt;0),Gruppenphase!$G84,"")</f>
        <v>Lyon</v>
      </c>
      <c r="CU75" s="5" t="str">
        <f>IF($BK75&lt;&gt;"",Gruppenphase!$I84,"")</f>
        <v/>
      </c>
      <c r="CV75" s="5" t="str">
        <f>IF($BK75&lt;&gt;"",Gruppenphase!$K84,"")</f>
        <v/>
      </c>
      <c r="CW75" s="5" t="str">
        <f>IF($BK75&lt;&gt;"",Gruppenphase!$M84,"")</f>
        <v/>
      </c>
    </row>
    <row r="76" spans="63:101" x14ac:dyDescent="0.2">
      <c r="BK76" s="5" t="str">
        <f>IF(AND(COUNTIF($AF$4:$AF$35,Gruppenphase!G85)&gt;0,COUNTIF($AF$4:$AF$35,Gruppenphase!M85)&gt;0,Gruppenphase!I85&lt;&gt;"",Gruppenphase!K85&lt;&gt;""),Gruppenphase!G85,"")</f>
        <v/>
      </c>
      <c r="BL76" s="5" t="str">
        <f>IF($BK76&lt;&gt;"",Gruppenphase!I85,"")</f>
        <v/>
      </c>
      <c r="BM76" s="5" t="str">
        <f>IF($BK76&lt;&gt;"",Gruppenphase!K85,"")</f>
        <v/>
      </c>
      <c r="BN76" s="5" t="str">
        <f>IF($BK76&lt;&gt;"",Gruppenphase!M85,"")</f>
        <v/>
      </c>
      <c r="CT76" s="5" t="str">
        <f>IF(AND(COUNTIF($AF$4:$AF$35,Gruppenphase!$G85)&gt;0,COUNTIF($AF$4:$AF$35,Gruppenphase!$M85)&gt;0),Gruppenphase!$G85,"")</f>
        <v>Bayer Leverkusen</v>
      </c>
      <c r="CU76" s="5" t="str">
        <f>IF($BK76&lt;&gt;"",Gruppenphase!$I85,"")</f>
        <v/>
      </c>
      <c r="CV76" s="5" t="str">
        <f>IF($BK76&lt;&gt;"",Gruppenphase!$K85,"")</f>
        <v/>
      </c>
      <c r="CW76" s="5" t="str">
        <f>IF($BK76&lt;&gt;"",Gruppenphase!$M85,"")</f>
        <v/>
      </c>
    </row>
    <row r="77" spans="63:101" x14ac:dyDescent="0.2">
      <c r="BK77" s="5" t="str">
        <f>IF(AND(COUNTIF($AF$4:$AF$35,Gruppenphase!G86)&gt;0,COUNTIF($AF$4:$AF$35,Gruppenphase!M86)&gt;0,Gruppenphase!I86&lt;&gt;"",Gruppenphase!K86&lt;&gt;""),Gruppenphase!G86,"")</f>
        <v/>
      </c>
      <c r="BL77" s="5" t="str">
        <f>IF($BK77&lt;&gt;"",Gruppenphase!I86,"")</f>
        <v/>
      </c>
      <c r="BM77" s="5" t="str">
        <f>IF($BK77&lt;&gt;"",Gruppenphase!K86,"")</f>
        <v/>
      </c>
      <c r="BN77" s="5" t="str">
        <f>IF($BK77&lt;&gt;"",Gruppenphase!M86,"")</f>
        <v/>
      </c>
      <c r="CT77" s="5" t="str">
        <f>IF(AND(COUNTIF($AF$4:$AF$35,Gruppenphase!$G86)&gt;0,COUNTIF($AF$4:$AF$35,Gruppenphase!$M86)&gt;0),Gruppenphase!$G86,"")</f>
        <v>Valencia</v>
      </c>
      <c r="CU77" s="5" t="str">
        <f>IF($BK77&lt;&gt;"",Gruppenphase!$I86,"")</f>
        <v/>
      </c>
      <c r="CV77" s="5" t="str">
        <f>IF($BK77&lt;&gt;"",Gruppenphase!$K86,"")</f>
        <v/>
      </c>
      <c r="CW77" s="5" t="str">
        <f>IF($BK77&lt;&gt;"",Gruppenphase!$M86,"")</f>
        <v/>
      </c>
    </row>
    <row r="78" spans="63:101" x14ac:dyDescent="0.2">
      <c r="BK78" s="5" t="str">
        <f>IF(AND(COUNTIF($AF$4:$AF$35,Gruppenphase!G87)&gt;0,COUNTIF($AF$4:$AF$35,Gruppenphase!M87)&gt;0,Gruppenphase!I87&lt;&gt;"",Gruppenphase!K87&lt;&gt;""),Gruppenphase!G87,"")</f>
        <v/>
      </c>
      <c r="BL78" s="5" t="str">
        <f>IF($BK78&lt;&gt;"",Gruppenphase!I87,"")</f>
        <v/>
      </c>
      <c r="BM78" s="5" t="str">
        <f>IF($BK78&lt;&gt;"",Gruppenphase!K87,"")</f>
        <v/>
      </c>
      <c r="BN78" s="5" t="str">
        <f>IF($BK78&lt;&gt;"",Gruppenphase!M87,"")</f>
        <v/>
      </c>
      <c r="CT78" s="5" t="str">
        <f>IF(AND(COUNTIF($AF$4:$AF$35,Gruppenphase!$G87)&gt;0,COUNTIF($AF$4:$AF$35,Gruppenphase!$M87)&gt;0),Gruppenphase!$G87,"")</f>
        <v>Marseille</v>
      </c>
      <c r="CU78" s="5" t="str">
        <f>IF($BK78&lt;&gt;"",Gruppenphase!$I87,"")</f>
        <v/>
      </c>
      <c r="CV78" s="5" t="str">
        <f>IF($BK78&lt;&gt;"",Gruppenphase!$K87,"")</f>
        <v/>
      </c>
      <c r="CW78" s="5" t="str">
        <f>IF($BK78&lt;&gt;"",Gruppenphase!$M87,"")</f>
        <v/>
      </c>
    </row>
    <row r="79" spans="63:101" x14ac:dyDescent="0.2">
      <c r="BK79" s="5" t="str">
        <f>IF(AND(COUNTIF($AF$4:$AF$35,Gruppenphase!G88)&gt;0,COUNTIF($AF$4:$AF$35,Gruppenphase!M88)&gt;0,Gruppenphase!I88&lt;&gt;"",Gruppenphase!K88&lt;&gt;""),Gruppenphase!G88,"")</f>
        <v/>
      </c>
      <c r="BL79" s="5" t="str">
        <f>IF($BK79&lt;&gt;"",Gruppenphase!I88,"")</f>
        <v/>
      </c>
      <c r="BM79" s="5" t="str">
        <f>IF($BK79&lt;&gt;"",Gruppenphase!K88,"")</f>
        <v/>
      </c>
      <c r="BN79" s="5" t="str">
        <f>IF($BK79&lt;&gt;"",Gruppenphase!M88,"")</f>
        <v/>
      </c>
      <c r="CT79" s="5" t="str">
        <f>IF(AND(COUNTIF($AF$4:$AF$35,Gruppenphase!$G88)&gt;0,COUNTIF($AF$4:$AF$35,Gruppenphase!$M88)&gt;0),Gruppenphase!$G88,"")</f>
        <v>Arsenal</v>
      </c>
      <c r="CU79" s="5" t="str">
        <f>IF($BK79&lt;&gt;"",Gruppenphase!$I88,"")</f>
        <v/>
      </c>
      <c r="CV79" s="5" t="str">
        <f>IF($BK79&lt;&gt;"",Gruppenphase!$K88,"")</f>
        <v/>
      </c>
      <c r="CW79" s="5" t="str">
        <f>IF($BK79&lt;&gt;"",Gruppenphase!$M88,"")</f>
        <v/>
      </c>
    </row>
    <row r="80" spans="63:101" x14ac:dyDescent="0.2">
      <c r="BK80" s="5" t="str">
        <f>IF(AND(COUNTIF($AF$4:$AF$35,Gruppenphase!G89)&gt;0,COUNTIF($AF$4:$AF$35,Gruppenphase!M89)&gt;0,Gruppenphase!I89&lt;&gt;"",Gruppenphase!K89&lt;&gt;""),Gruppenphase!G89,"")</f>
        <v/>
      </c>
      <c r="BL80" s="5" t="str">
        <f>IF($BK80&lt;&gt;"",Gruppenphase!I89,"")</f>
        <v/>
      </c>
      <c r="BM80" s="5" t="str">
        <f>IF($BK80&lt;&gt;"",Gruppenphase!K89,"")</f>
        <v/>
      </c>
      <c r="BN80" s="5" t="str">
        <f>IF($BK80&lt;&gt;"",Gruppenphase!M89,"")</f>
        <v/>
      </c>
      <c r="CT80" s="5" t="str">
        <f>IF(AND(COUNTIF($AF$4:$AF$35,Gruppenphase!$G89)&gt;0,COUNTIF($AF$4:$AF$35,Gruppenphase!$M89)&gt;0),Gruppenphase!$G89,"")</f>
        <v>Shakhtar Donetsk</v>
      </c>
      <c r="CU80" s="5" t="str">
        <f>IF($BK80&lt;&gt;"",Gruppenphase!$I89,"")</f>
        <v/>
      </c>
      <c r="CV80" s="5" t="str">
        <f>IF($BK80&lt;&gt;"",Gruppenphase!$K89,"")</f>
        <v/>
      </c>
      <c r="CW80" s="5" t="str">
        <f>IF($BK80&lt;&gt;"",Gruppenphase!$M89,"")</f>
        <v/>
      </c>
    </row>
    <row r="81" spans="63:101" x14ac:dyDescent="0.2">
      <c r="BK81" s="5" t="str">
        <f>IF(AND(COUNTIF($AF$4:$AF$35,Gruppenphase!G90)&gt;0,COUNTIF($AF$4:$AF$35,Gruppenphase!M90)&gt;0,Gruppenphase!I90&lt;&gt;"",Gruppenphase!K90&lt;&gt;""),Gruppenphase!G90,"")</f>
        <v/>
      </c>
      <c r="BL81" s="5" t="str">
        <f>IF($BK81&lt;&gt;"",Gruppenphase!I90,"")</f>
        <v/>
      </c>
      <c r="BM81" s="5" t="str">
        <f>IF($BK81&lt;&gt;"",Gruppenphase!K90,"")</f>
        <v/>
      </c>
      <c r="BN81" s="5" t="str">
        <f>IF($BK81&lt;&gt;"",Gruppenphase!M90,"")</f>
        <v/>
      </c>
      <c r="CT81" s="5" t="str">
        <f>IF(AND(COUNTIF($AF$4:$AF$35,Gruppenphase!$G90)&gt;0,COUNTIF($AF$4:$AF$35,Gruppenphase!$M90)&gt;0),Gruppenphase!$G90,"")</f>
        <v>AC Milan</v>
      </c>
      <c r="CU81" s="5" t="str">
        <f>IF($BK81&lt;&gt;"",Gruppenphase!$I90,"")</f>
        <v/>
      </c>
      <c r="CV81" s="5" t="str">
        <f>IF($BK81&lt;&gt;"",Gruppenphase!$K90,"")</f>
        <v/>
      </c>
      <c r="CW81" s="5" t="str">
        <f>IF($BK81&lt;&gt;"",Gruppenphase!$M90,"")</f>
        <v/>
      </c>
    </row>
    <row r="82" spans="63:101" x14ac:dyDescent="0.2">
      <c r="BK82" s="5" t="str">
        <f>IF(AND(COUNTIF($AF$4:$AF$35,Gruppenphase!G91)&gt;0,COUNTIF($AF$4:$AF$35,Gruppenphase!M91)&gt;0,Gruppenphase!I91&lt;&gt;"",Gruppenphase!K91&lt;&gt;""),Gruppenphase!G91,"")</f>
        <v/>
      </c>
      <c r="BL82" s="5" t="str">
        <f>IF($BK82&lt;&gt;"",Gruppenphase!I91,"")</f>
        <v/>
      </c>
      <c r="BM82" s="5" t="str">
        <f>IF($BK82&lt;&gt;"",Gruppenphase!K91,"")</f>
        <v/>
      </c>
      <c r="BN82" s="5" t="str">
        <f>IF($BK82&lt;&gt;"",Gruppenphase!M91,"")</f>
        <v/>
      </c>
      <c r="CT82" s="5" t="str">
        <f>IF(AND(COUNTIF($AF$4:$AF$35,Gruppenphase!$G91)&gt;0,COUNTIF($AF$4:$AF$35,Gruppenphase!$M91)&gt;0),Gruppenphase!$G91,"")</f>
        <v>Bate Borisov</v>
      </c>
      <c r="CU82" s="5" t="str">
        <f>IF($BK82&lt;&gt;"",Gruppenphase!$I91,"")</f>
        <v/>
      </c>
      <c r="CV82" s="5" t="str">
        <f>IF($BK82&lt;&gt;"",Gruppenphase!$K91,"")</f>
        <v/>
      </c>
      <c r="CW82" s="5" t="str">
        <f>IF($BK82&lt;&gt;"",Gruppenphase!$M91,"")</f>
        <v/>
      </c>
    </row>
    <row r="83" spans="63:101" x14ac:dyDescent="0.2">
      <c r="BK83" s="5" t="str">
        <f>IF(AND(COUNTIF($AF$4:$AF$35,Gruppenphase!G92)&gt;0,COUNTIF($AF$4:$AF$35,Gruppenphase!M92)&gt;0,Gruppenphase!I92&lt;&gt;"",Gruppenphase!K92&lt;&gt;""),Gruppenphase!G92,"")</f>
        <v/>
      </c>
      <c r="BL83" s="5" t="str">
        <f>IF($BK83&lt;&gt;"",Gruppenphase!I92,"")</f>
        <v/>
      </c>
      <c r="BM83" s="5" t="str">
        <f>IF($BK83&lt;&gt;"",Gruppenphase!K92,"")</f>
        <v/>
      </c>
      <c r="BN83" s="5" t="str">
        <f>IF($BK83&lt;&gt;"",Gruppenphase!M92,"")</f>
        <v/>
      </c>
      <c r="CT83" s="5" t="str">
        <f>IF(AND(COUNTIF($AF$4:$AF$35,Gruppenphase!$G92)&gt;0,COUNTIF($AF$4:$AF$35,Gruppenphase!$M92)&gt;0),Gruppenphase!$G92,"")</f>
        <v>Zenit St. Petersburg</v>
      </c>
      <c r="CU83" s="5" t="str">
        <f>IF($BK83&lt;&gt;"",Gruppenphase!$I92,"")</f>
        <v/>
      </c>
      <c r="CV83" s="5" t="str">
        <f>IF($BK83&lt;&gt;"",Gruppenphase!$K92,"")</f>
        <v/>
      </c>
      <c r="CW83" s="5" t="str">
        <f>IF($BK83&lt;&gt;"",Gruppenphase!$M92,"")</f>
        <v/>
      </c>
    </row>
    <row r="84" spans="63:101" x14ac:dyDescent="0.2">
      <c r="BK84" s="5" t="str">
        <f>IF(AND(COUNTIF($AF$4:$AF$35,Gruppenphase!G93)&gt;0,COUNTIF($AF$4:$AF$35,Gruppenphase!M93)&gt;0,Gruppenphase!I93&lt;&gt;"",Gruppenphase!K93&lt;&gt;""),Gruppenphase!G93,"")</f>
        <v/>
      </c>
      <c r="BL84" s="5" t="str">
        <f>IF($BK84&lt;&gt;"",Gruppenphase!I93,"")</f>
        <v/>
      </c>
      <c r="BM84" s="5" t="str">
        <f>IF($BK84&lt;&gt;"",Gruppenphase!K93,"")</f>
        <v/>
      </c>
      <c r="BN84" s="5" t="str">
        <f>IF($BK84&lt;&gt;"",Gruppenphase!M93,"")</f>
        <v/>
      </c>
      <c r="CT84" s="5" t="str">
        <f>IF(AND(COUNTIF($AF$4:$AF$35,Gruppenphase!$G93)&gt;0,COUNTIF($AF$4:$AF$35,Gruppenphase!$M93)&gt;0),Gruppenphase!$G93,"")</f>
        <v>Chelsea</v>
      </c>
      <c r="CU84" s="5" t="str">
        <f>IF($BK84&lt;&gt;"",Gruppenphase!$I93,"")</f>
        <v/>
      </c>
      <c r="CV84" s="5" t="str">
        <f>IF($BK84&lt;&gt;"",Gruppenphase!$K93,"")</f>
        <v/>
      </c>
      <c r="CW84" s="5" t="str">
        <f>IF($BK84&lt;&gt;"",Gruppenphase!$M93,"")</f>
        <v/>
      </c>
    </row>
    <row r="85" spans="63:101" x14ac:dyDescent="0.2">
      <c r="BK85" s="5" t="str">
        <f>IF(AND(COUNTIF($AF$4:$AF$35,Gruppenphase!G94)&gt;0,COUNTIF($AF$4:$AF$35,Gruppenphase!M94)&gt;0,Gruppenphase!I94&lt;&gt;"",Gruppenphase!K94&lt;&gt;""),Gruppenphase!G94,"")</f>
        <v/>
      </c>
      <c r="BL85" s="5" t="str">
        <f>IF($BK85&lt;&gt;"",Gruppenphase!I94,"")</f>
        <v/>
      </c>
      <c r="BM85" s="5" t="str">
        <f>IF($BK85&lt;&gt;"",Gruppenphase!K94,"")</f>
        <v/>
      </c>
      <c r="BN85" s="5" t="str">
        <f>IF($BK85&lt;&gt;"",Gruppenphase!M94,"")</f>
        <v/>
      </c>
      <c r="CT85" s="5" t="str">
        <f>IF(AND(COUNTIF($AF$4:$AF$35,Gruppenphase!$G94)&gt;0,COUNTIF($AF$4:$AF$35,Gruppenphase!$M94)&gt;0),Gruppenphase!$G94,"")</f>
        <v>Genk</v>
      </c>
      <c r="CU85" s="5" t="str">
        <f>IF($BK85&lt;&gt;"",Gruppenphase!$I94,"")</f>
        <v/>
      </c>
      <c r="CV85" s="5" t="str">
        <f>IF($BK85&lt;&gt;"",Gruppenphase!$K94,"")</f>
        <v/>
      </c>
      <c r="CW85" s="5" t="str">
        <f>IF($BK85&lt;&gt;"",Gruppenphase!$M94,"")</f>
        <v/>
      </c>
    </row>
    <row r="86" spans="63:101" x14ac:dyDescent="0.2">
      <c r="BK86" s="5" t="str">
        <f>IF(AND(COUNTIF($AF$4:$AF$35,Gruppenphase!G95)&gt;0,COUNTIF($AF$4:$AF$35,Gruppenphase!M95)&gt;0,Gruppenphase!I95&lt;&gt;"",Gruppenphase!K95&lt;&gt;""),Gruppenphase!G95,"")</f>
        <v/>
      </c>
      <c r="BL86" s="5" t="str">
        <f>IF($BK86&lt;&gt;"",Gruppenphase!I95,"")</f>
        <v/>
      </c>
      <c r="BM86" s="5" t="str">
        <f>IF($BK86&lt;&gt;"",Gruppenphase!K95,"")</f>
        <v/>
      </c>
      <c r="BN86" s="5" t="str">
        <f>IF($BK86&lt;&gt;"",Gruppenphase!M95,"")</f>
        <v/>
      </c>
      <c r="CT86" s="5" t="str">
        <f>IF(AND(COUNTIF($AF$4:$AF$35,Gruppenphase!$G95)&gt;0,COUNTIF($AF$4:$AF$35,Gruppenphase!$M95)&gt;0),Gruppenphase!$G95,"")</f>
        <v>Olympiacos</v>
      </c>
      <c r="CU86" s="5" t="str">
        <f>IF($BK86&lt;&gt;"",Gruppenphase!$I95,"")</f>
        <v/>
      </c>
      <c r="CV86" s="5" t="str">
        <f>IF($BK86&lt;&gt;"",Gruppenphase!$K95,"")</f>
        <v/>
      </c>
      <c r="CW86" s="5" t="str">
        <f>IF($BK86&lt;&gt;"",Gruppenphase!$M95,"")</f>
        <v/>
      </c>
    </row>
    <row r="87" spans="63:101" x14ac:dyDescent="0.2">
      <c r="BK87" s="5" t="str">
        <f>IF(AND(COUNTIF($AF$4:$AF$35,Gruppenphase!G96)&gt;0,COUNTIF($AF$4:$AF$35,Gruppenphase!M96)&gt;0,Gruppenphase!I96&lt;&gt;"",Gruppenphase!K96&lt;&gt;""),Gruppenphase!G96,"")</f>
        <v/>
      </c>
      <c r="BL87" s="5" t="str">
        <f>IF($BK87&lt;&gt;"",Gruppenphase!I96,"")</f>
        <v/>
      </c>
      <c r="BM87" s="5" t="str">
        <f>IF($BK87&lt;&gt;"",Gruppenphase!K96,"")</f>
        <v/>
      </c>
      <c r="BN87" s="5" t="str">
        <f>IF($BK87&lt;&gt;"",Gruppenphase!M96,"")</f>
        <v/>
      </c>
      <c r="CT87" s="5" t="str">
        <f>IF(AND(COUNTIF($AF$4:$AF$35,Gruppenphase!$G96)&gt;0,COUNTIF($AF$4:$AF$35,Gruppenphase!$M96)&gt;0),Gruppenphase!$G96,"")</f>
        <v>Borussia Dortmund</v>
      </c>
      <c r="CU87" s="5" t="str">
        <f>IF($BK87&lt;&gt;"",Gruppenphase!$I96,"")</f>
        <v/>
      </c>
      <c r="CV87" s="5" t="str">
        <f>IF($BK87&lt;&gt;"",Gruppenphase!$K96,"")</f>
        <v/>
      </c>
      <c r="CW87" s="5" t="str">
        <f>IF($BK87&lt;&gt;"",Gruppenphase!$M96,"")</f>
        <v/>
      </c>
    </row>
    <row r="88" spans="63:101" x14ac:dyDescent="0.2">
      <c r="BK88" s="5" t="str">
        <f>IF(AND(COUNTIF($AF$4:$AF$35,Gruppenphase!G97)&gt;0,COUNTIF($AF$4:$AF$35,Gruppenphase!M97)&gt;0,Gruppenphase!I97&lt;&gt;"",Gruppenphase!K97&lt;&gt;""),Gruppenphase!G97,"")</f>
        <v/>
      </c>
      <c r="BL88" s="5" t="str">
        <f>IF($BK88&lt;&gt;"",Gruppenphase!I97,"")</f>
        <v/>
      </c>
      <c r="BM88" s="5" t="str">
        <f>IF($BK88&lt;&gt;"",Gruppenphase!K97,"")</f>
        <v/>
      </c>
      <c r="BN88" s="5" t="str">
        <f>IF($BK88&lt;&gt;"",Gruppenphase!M97,"")</f>
        <v/>
      </c>
      <c r="CT88" s="5" t="str">
        <f>IF(AND(COUNTIF($AF$4:$AF$35,Gruppenphase!$G97)&gt;0,COUNTIF($AF$4:$AF$35,Gruppenphase!$M97)&gt;0),Gruppenphase!$G97,"")</f>
        <v>Porto</v>
      </c>
      <c r="CU88" s="5" t="str">
        <f>IF($BK88&lt;&gt;"",Gruppenphase!$I97,"")</f>
        <v/>
      </c>
      <c r="CV88" s="5" t="str">
        <f>IF($BK88&lt;&gt;"",Gruppenphase!$K97,"")</f>
        <v/>
      </c>
      <c r="CW88" s="5" t="str">
        <f>IF($BK88&lt;&gt;"",Gruppenphase!$M97,"")</f>
        <v/>
      </c>
    </row>
    <row r="89" spans="63:101" x14ac:dyDescent="0.2">
      <c r="BK89" s="5" t="str">
        <f>IF(AND(COUNTIF($AF$4:$AF$35,Gruppenphase!G98)&gt;0,COUNTIF($AF$4:$AF$35,Gruppenphase!M98)&gt;0,Gruppenphase!I98&lt;&gt;"",Gruppenphase!K98&lt;&gt;""),Gruppenphase!G98,"")</f>
        <v/>
      </c>
      <c r="BL89" s="5" t="str">
        <f>IF($BK89&lt;&gt;"",Gruppenphase!I98,"")</f>
        <v/>
      </c>
      <c r="BM89" s="5" t="str">
        <f>IF($BK89&lt;&gt;"",Gruppenphase!K98,"")</f>
        <v/>
      </c>
      <c r="BN89" s="5" t="str">
        <f>IF($BK89&lt;&gt;"",Gruppenphase!M98,"")</f>
        <v/>
      </c>
      <c r="CT89" s="5" t="str">
        <f>IF(AND(COUNTIF($AF$4:$AF$35,Gruppenphase!$G98)&gt;0,COUNTIF($AF$4:$AF$35,Gruppenphase!$M98)&gt;0),Gruppenphase!$G98,"")</f>
        <v>APOEL</v>
      </c>
      <c r="CU89" s="5" t="str">
        <f>IF($BK89&lt;&gt;"",Gruppenphase!$I98,"")</f>
        <v/>
      </c>
      <c r="CV89" s="5" t="str">
        <f>IF($BK89&lt;&gt;"",Gruppenphase!$K98,"")</f>
        <v/>
      </c>
      <c r="CW89" s="5" t="str">
        <f>IF($BK89&lt;&gt;"",Gruppenphase!$M98,"")</f>
        <v/>
      </c>
    </row>
    <row r="90" spans="63:101" x14ac:dyDescent="0.2">
      <c r="BK90" s="5" t="str">
        <f>IF(AND(COUNTIF($AF$4:$AF$35,Gruppenphase!G99)&gt;0,COUNTIF($AF$4:$AF$35,Gruppenphase!M99)&gt;0,Gruppenphase!I99&lt;&gt;"",Gruppenphase!K99&lt;&gt;""),Gruppenphase!G99,"")</f>
        <v/>
      </c>
      <c r="BL90" s="5" t="str">
        <f>IF($BK90&lt;&gt;"",Gruppenphase!I99,"")</f>
        <v/>
      </c>
      <c r="BM90" s="5" t="str">
        <f>IF($BK90&lt;&gt;"",Gruppenphase!K99,"")</f>
        <v/>
      </c>
      <c r="BN90" s="5" t="str">
        <f>IF($BK90&lt;&gt;"",Gruppenphase!M99,"")</f>
        <v/>
      </c>
      <c r="CT90" s="5" t="str">
        <f>IF(AND(COUNTIF($AF$4:$AF$35,Gruppenphase!$G99)&gt;0,COUNTIF($AF$4:$AF$35,Gruppenphase!$M99)&gt;0),Gruppenphase!$G99,"")</f>
        <v>Barcelona</v>
      </c>
      <c r="CU90" s="5" t="str">
        <f>IF($BK90&lt;&gt;"",Gruppenphase!$I99,"")</f>
        <v/>
      </c>
      <c r="CV90" s="5" t="str">
        <f>IF($BK90&lt;&gt;"",Gruppenphase!$K99,"")</f>
        <v/>
      </c>
      <c r="CW90" s="5" t="str">
        <f>IF($BK90&lt;&gt;"",Gruppenphase!$M99,"")</f>
        <v/>
      </c>
    </row>
    <row r="91" spans="63:101" x14ac:dyDescent="0.2">
      <c r="BK91" s="5" t="str">
        <f>IF(AND(COUNTIF($AF$4:$AF$35,Gruppenphase!G100)&gt;0,COUNTIF($AF$4:$AF$35,Gruppenphase!M100)&gt;0,Gruppenphase!I100&lt;&gt;"",Gruppenphase!K100&lt;&gt;""),Gruppenphase!G100,"")</f>
        <v/>
      </c>
      <c r="BL91" s="5" t="str">
        <f>IF($BK91&lt;&gt;"",Gruppenphase!I100,"")</f>
        <v/>
      </c>
      <c r="BM91" s="5" t="str">
        <f>IF($BK91&lt;&gt;"",Gruppenphase!K100,"")</f>
        <v/>
      </c>
      <c r="BN91" s="5" t="str">
        <f>IF($BK91&lt;&gt;"",Gruppenphase!M100,"")</f>
        <v/>
      </c>
      <c r="CT91" s="5" t="str">
        <f>IF(AND(COUNTIF($AF$4:$AF$35,Gruppenphase!$G100)&gt;0,COUNTIF($AF$4:$AF$35,Gruppenphase!$M100)&gt;0),Gruppenphase!$G100,"")</f>
        <v>Viktoria Plzeň</v>
      </c>
      <c r="CU91" s="5" t="str">
        <f>IF($BK91&lt;&gt;"",Gruppenphase!$I100,"")</f>
        <v/>
      </c>
      <c r="CV91" s="5" t="str">
        <f>IF($BK91&lt;&gt;"",Gruppenphase!$K100,"")</f>
        <v/>
      </c>
      <c r="CW91" s="5" t="str">
        <f>IF($BK91&lt;&gt;"",Gruppenphase!$M100,"")</f>
        <v/>
      </c>
    </row>
    <row r="92" spans="63:101" x14ac:dyDescent="0.2">
      <c r="BK92" s="5" t="str">
        <f>IF(AND(COUNTIF($AF$4:$AF$35,Gruppenphase!G101)&gt;0,COUNTIF($AF$4:$AF$35,Gruppenphase!M101)&gt;0,Gruppenphase!I101&lt;&gt;"",Gruppenphase!K101&lt;&gt;""),Gruppenphase!G101,"")</f>
        <v/>
      </c>
      <c r="BL92" s="5" t="str">
        <f>IF($BK92&lt;&gt;"",Gruppenphase!I101,"")</f>
        <v/>
      </c>
      <c r="BM92" s="5" t="str">
        <f>IF($BK92&lt;&gt;"",Gruppenphase!K101,"")</f>
        <v/>
      </c>
      <c r="BN92" s="5" t="str">
        <f>IF($BK92&lt;&gt;"",Gruppenphase!M101,"")</f>
        <v/>
      </c>
      <c r="CT92" s="5" t="str">
        <f>IF(AND(COUNTIF($AF$4:$AF$35,Gruppenphase!$G101)&gt;0,COUNTIF($AF$4:$AF$35,Gruppenphase!$M101)&gt;0),Gruppenphase!$G101,"")</f>
        <v>Manchester City</v>
      </c>
      <c r="CU92" s="5" t="str">
        <f>IF($BK92&lt;&gt;"",Gruppenphase!$I101,"")</f>
        <v/>
      </c>
      <c r="CV92" s="5" t="str">
        <f>IF($BK92&lt;&gt;"",Gruppenphase!$K101,"")</f>
        <v/>
      </c>
      <c r="CW92" s="5" t="str">
        <f>IF($BK92&lt;&gt;"",Gruppenphase!$M101,"")</f>
        <v/>
      </c>
    </row>
    <row r="93" spans="63:101" x14ac:dyDescent="0.2">
      <c r="BK93" s="5" t="str">
        <f>IF(AND(COUNTIF($AF$4:$AF$35,Gruppenphase!G102)&gt;0,COUNTIF($AF$4:$AF$35,Gruppenphase!M102)&gt;0,Gruppenphase!I102&lt;&gt;"",Gruppenphase!K102&lt;&gt;""),Gruppenphase!G102,"")</f>
        <v/>
      </c>
      <c r="BL93" s="5" t="str">
        <f>IF($BK93&lt;&gt;"",Gruppenphase!I102,"")</f>
        <v/>
      </c>
      <c r="BM93" s="5" t="str">
        <f>IF($BK93&lt;&gt;"",Gruppenphase!K102,"")</f>
        <v/>
      </c>
      <c r="BN93" s="5" t="str">
        <f>IF($BK93&lt;&gt;"",Gruppenphase!M102,"")</f>
        <v/>
      </c>
      <c r="CT93" s="5" t="str">
        <f>IF(AND(COUNTIF($AF$4:$AF$35,Gruppenphase!$G102)&gt;0,COUNTIF($AF$4:$AF$35,Gruppenphase!$M102)&gt;0),Gruppenphase!$G102,"")</f>
        <v>Villarreal</v>
      </c>
      <c r="CU93" s="5" t="str">
        <f>IF($BK93&lt;&gt;"",Gruppenphase!$I102,"")</f>
        <v/>
      </c>
      <c r="CV93" s="5" t="str">
        <f>IF($BK93&lt;&gt;"",Gruppenphase!$K102,"")</f>
        <v/>
      </c>
      <c r="CW93" s="5" t="str">
        <f>IF($BK93&lt;&gt;"",Gruppenphase!$M102,"")</f>
        <v/>
      </c>
    </row>
    <row r="94" spans="63:101" x14ac:dyDescent="0.2">
      <c r="BK94" s="5" t="str">
        <f>IF(AND(COUNTIF($AF$4:$AF$35,Gruppenphase!G103)&gt;0,COUNTIF($AF$4:$AF$35,Gruppenphase!M103)&gt;0,Gruppenphase!I103&lt;&gt;"",Gruppenphase!K103&lt;&gt;""),Gruppenphase!G103,"")</f>
        <v/>
      </c>
      <c r="BL94" s="5" t="str">
        <f>IF($BK94&lt;&gt;"",Gruppenphase!I103,"")</f>
        <v/>
      </c>
      <c r="BM94" s="5" t="str">
        <f>IF($BK94&lt;&gt;"",Gruppenphase!K103,"")</f>
        <v/>
      </c>
      <c r="BN94" s="5" t="str">
        <f>IF($BK94&lt;&gt;"",Gruppenphase!M103,"")</f>
        <v/>
      </c>
      <c r="CT94" s="5" t="str">
        <f>IF(AND(COUNTIF($AF$4:$AF$35,Gruppenphase!$G103)&gt;0,COUNTIF($AF$4:$AF$35,Gruppenphase!$M103)&gt;0),Gruppenphase!$G103,"")</f>
        <v>Lille</v>
      </c>
      <c r="CU94" s="5" t="str">
        <f>IF($BK94&lt;&gt;"",Gruppenphase!$I103,"")</f>
        <v/>
      </c>
      <c r="CV94" s="5" t="str">
        <f>IF($BK94&lt;&gt;"",Gruppenphase!$K103,"")</f>
        <v/>
      </c>
      <c r="CW94" s="5" t="str">
        <f>IF($BK94&lt;&gt;"",Gruppenphase!$M103,"")</f>
        <v/>
      </c>
    </row>
    <row r="95" spans="63:101" x14ac:dyDescent="0.2">
      <c r="BK95" s="5" t="str">
        <f>IF(AND(COUNTIF($AF$4:$AF$35,Gruppenphase!G104)&gt;0,COUNTIF($AF$4:$AF$35,Gruppenphase!M104)&gt;0,Gruppenphase!I104&lt;&gt;"",Gruppenphase!K104&lt;&gt;""),Gruppenphase!G104,"")</f>
        <v/>
      </c>
      <c r="BL95" s="5" t="str">
        <f>IF($BK95&lt;&gt;"",Gruppenphase!I104,"")</f>
        <v/>
      </c>
      <c r="BM95" s="5" t="str">
        <f>IF($BK95&lt;&gt;"",Gruppenphase!K104,"")</f>
        <v/>
      </c>
      <c r="BN95" s="5" t="str">
        <f>IF($BK95&lt;&gt;"",Gruppenphase!M104,"")</f>
        <v/>
      </c>
      <c r="CT95" s="5" t="str">
        <f>IF(AND(COUNTIF($AF$4:$AF$35,Gruppenphase!$G104)&gt;0,COUNTIF($AF$4:$AF$35,Gruppenphase!$M104)&gt;0),Gruppenphase!$G104,"")</f>
        <v>Internazionale</v>
      </c>
      <c r="CU95" s="5" t="str">
        <f>IF($BK95&lt;&gt;"",Gruppenphase!$I104,"")</f>
        <v/>
      </c>
      <c r="CV95" s="5" t="str">
        <f>IF($BK95&lt;&gt;"",Gruppenphase!$K104,"")</f>
        <v/>
      </c>
      <c r="CW95" s="5" t="str">
        <f>IF($BK95&lt;&gt;"",Gruppenphase!$M104,"")</f>
        <v/>
      </c>
    </row>
    <row r="96" spans="63:101" x14ac:dyDescent="0.2">
      <c r="BK96" s="5" t="str">
        <f>IF(AND(COUNTIF($AF$4:$AF$35,Gruppenphase!G105)&gt;0,COUNTIF($AF$4:$AF$35,Gruppenphase!M105)&gt;0,Gruppenphase!I105&lt;&gt;"",Gruppenphase!K105&lt;&gt;""),Gruppenphase!G105,"")</f>
        <v/>
      </c>
      <c r="BL96" s="5" t="str">
        <f>IF($BK96&lt;&gt;"",Gruppenphase!I105,"")</f>
        <v/>
      </c>
      <c r="BM96" s="5" t="str">
        <f>IF($BK96&lt;&gt;"",Gruppenphase!K105,"")</f>
        <v/>
      </c>
      <c r="BN96" s="5" t="str">
        <f>IF($BK96&lt;&gt;"",Gruppenphase!M105,"")</f>
        <v/>
      </c>
      <c r="CT96" s="5" t="str">
        <f>IF(AND(COUNTIF($AF$4:$AF$35,Gruppenphase!$G105)&gt;0,COUNTIF($AF$4:$AF$35,Gruppenphase!$M105)&gt;0),Gruppenphase!$G105,"")</f>
        <v>Basel</v>
      </c>
      <c r="CU96" s="5" t="str">
        <f>IF($BK96&lt;&gt;"",Gruppenphase!$I105,"")</f>
        <v/>
      </c>
      <c r="CV96" s="5" t="str">
        <f>IF($BK96&lt;&gt;"",Gruppenphase!$K105,"")</f>
        <v/>
      </c>
      <c r="CW96" s="5" t="str">
        <f>IF($BK96&lt;&gt;"",Gruppenphase!$M105,"")</f>
        <v/>
      </c>
    </row>
    <row r="97" spans="63:101" x14ac:dyDescent="0.2">
      <c r="BK97" s="5" t="str">
        <f>IF(AND(COUNTIF($AF$4:$AF$35,Gruppenphase!G106)&gt;0,COUNTIF($AF$4:$AF$35,Gruppenphase!M106)&gt;0,Gruppenphase!I106&lt;&gt;"",Gruppenphase!K106&lt;&gt;""),Gruppenphase!G106,"")</f>
        <v/>
      </c>
      <c r="BL97" s="5" t="str">
        <f>IF($BK97&lt;&gt;"",Gruppenphase!I106,"")</f>
        <v/>
      </c>
      <c r="BM97" s="5" t="str">
        <f>IF($BK97&lt;&gt;"",Gruppenphase!K106,"")</f>
        <v/>
      </c>
      <c r="BN97" s="5" t="str">
        <f>IF($BK97&lt;&gt;"",Gruppenphase!M106,"")</f>
        <v/>
      </c>
      <c r="CT97" s="5" t="str">
        <f>IF(AND(COUNTIF($AF$4:$AF$35,Gruppenphase!$G106)&gt;0,COUNTIF($AF$4:$AF$35,Gruppenphase!$M106)&gt;0),Gruppenphase!$G106,"")</f>
        <v>Benfica</v>
      </c>
      <c r="CU97" s="5" t="str">
        <f>IF($BK97&lt;&gt;"",Gruppenphase!$I106,"")</f>
        <v/>
      </c>
      <c r="CV97" s="5" t="str">
        <f>IF($BK97&lt;&gt;"",Gruppenphase!$K106,"")</f>
        <v/>
      </c>
      <c r="CW97" s="5" t="str">
        <f>IF($BK97&lt;&gt;"",Gruppenphase!$M106,"")</f>
        <v/>
      </c>
    </row>
    <row r="98" spans="63:101" x14ac:dyDescent="0.2">
      <c r="BK98" s="5" t="str">
        <f>IF(AND(COUNTIF($AF$4:$AF$35,Gruppenphase!G107)&gt;0,COUNTIF($AF$4:$AF$35,Gruppenphase!M107)&gt;0,Gruppenphase!I107&lt;&gt;"",Gruppenphase!K107&lt;&gt;""),Gruppenphase!G107,"")</f>
        <v/>
      </c>
      <c r="BL98" s="5" t="str">
        <f>IF($BK98&lt;&gt;"",Gruppenphase!I107,"")</f>
        <v/>
      </c>
      <c r="BM98" s="5" t="str">
        <f>IF($BK98&lt;&gt;"",Gruppenphase!K107,"")</f>
        <v/>
      </c>
      <c r="BN98" s="5" t="str">
        <f>IF($BK98&lt;&gt;"",Gruppenphase!M107,"")</f>
        <v/>
      </c>
      <c r="CT98" s="5" t="str">
        <f>IF(AND(COUNTIF($AF$4:$AF$35,Gruppenphase!$G107)&gt;0,COUNTIF($AF$4:$AF$35,Gruppenphase!$M107)&gt;0),Gruppenphase!$G107,"")</f>
        <v>Dinamo Zagreb</v>
      </c>
      <c r="CU98" s="5" t="str">
        <f>IF($BK98&lt;&gt;"",Gruppenphase!$I107,"")</f>
        <v/>
      </c>
      <c r="CV98" s="5" t="str">
        <f>IF($BK98&lt;&gt;"",Gruppenphase!$K107,"")</f>
        <v/>
      </c>
      <c r="CW98" s="5" t="str">
        <f>IF($BK98&lt;&gt;"",Gruppenphase!$M107,"")</f>
        <v/>
      </c>
    </row>
    <row r="99" spans="63:101" x14ac:dyDescent="0.2">
      <c r="BK99" s="5" t="str">
        <f>IF(AND(COUNTIF($AF$4:$AF$35,Gruppenphase!G108)&gt;0,COUNTIF($AF$4:$AF$35,Gruppenphase!M108)&gt;0,Gruppenphase!I108&lt;&gt;"",Gruppenphase!K108&lt;&gt;""),Gruppenphase!G108,"")</f>
        <v/>
      </c>
      <c r="BL99" s="5" t="str">
        <f>IF($BK99&lt;&gt;"",Gruppenphase!I108,"")</f>
        <v/>
      </c>
      <c r="BM99" s="5" t="str">
        <f>IF($BK99&lt;&gt;"",Gruppenphase!K108,"")</f>
        <v/>
      </c>
      <c r="BN99" s="5" t="str">
        <f>IF($BK99&lt;&gt;"",Gruppenphase!M108,"")</f>
        <v/>
      </c>
      <c r="CT99" s="5" t="str">
        <f>IF(AND(COUNTIF($AF$4:$AF$35,Gruppenphase!$G108)&gt;0,COUNTIF($AF$4:$AF$35,Gruppenphase!$M108)&gt;0),Gruppenphase!$G108,"")</f>
        <v>Ajax</v>
      </c>
      <c r="CU99" s="5" t="str">
        <f>IF($BK99&lt;&gt;"",Gruppenphase!$I108,"")</f>
        <v/>
      </c>
      <c r="CV99" s="5" t="str">
        <f>IF($BK99&lt;&gt;"",Gruppenphase!$K108,"")</f>
        <v/>
      </c>
      <c r="CW99" s="5" t="str">
        <f>IF($BK99&lt;&gt;"",Gruppenphase!$M108,"")</f>
        <v/>
      </c>
    </row>
  </sheetData>
  <sheetProtection password="ECEE" sheet="1" objects="1" scenarios="1" selectLockedCells="1"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Club Namen</vt:lpstr>
      <vt:lpstr>Gruppenphase</vt:lpstr>
      <vt:lpstr>Achtelfinale - Finale</vt:lpstr>
      <vt:lpstr>Dummy Table</vt:lpstr>
      <vt:lpstr>'Achtelfinale - Finale'!Print_Area</vt:lpstr>
      <vt:lpstr>Gruppenphase!Print_Area</vt:lpstr>
      <vt:lpstr>Team</vt:lpstr>
    </vt:vector>
  </TitlesOfParts>
  <Company>Exceltemplate.net</Company>
  <LinksUpToDate>false</LinksUpToDate>
  <SharedDoc>false</SharedDoc>
  <HyperlinkBase>http://exceltemplate.net/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UEFA Champions League 2011/2012 Fixtures</dc:title>
  <dc:creator>R. Musadya</dc:creator>
  <cp:keywords>Champions League, UEFA, UEFA Fixtures, Fixtures 2009/2010</cp:keywords>
  <cp:lastModifiedBy>Ridha Musadya</cp:lastModifiedBy>
  <cp:lastPrinted>2011-08-29T04:08:02Z</cp:lastPrinted>
  <dcterms:created xsi:type="dcterms:W3CDTF">2008-04-13T01:23:18Z</dcterms:created>
  <dcterms:modified xsi:type="dcterms:W3CDTF">2011-08-29T04:08:10Z</dcterms:modified>
  <cp:category>Sport Spreadsheets</cp:category>
</cp:coreProperties>
</file>