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autoCompressPictures="0"/>
  <bookViews>
    <workbookView xWindow="0" yWindow="456" windowWidth="23256" windowHeight="12792" tabRatio="741"/>
  </bookViews>
  <sheets>
    <sheet name="Jan" sheetId="1" r:id="rId1"/>
    <sheet name="Feb" sheetId="6" r:id="rId2"/>
    <sheet name="Mrz" sheetId="7" r:id="rId3"/>
    <sheet name="Apr" sheetId="8" r:id="rId4"/>
    <sheet name="Mai" sheetId="9" r:id="rId5"/>
    <sheet name="Jun" sheetId="10" r:id="rId6"/>
    <sheet name="Jul" sheetId="11" r:id="rId7"/>
    <sheet name="Aug" sheetId="12" r:id="rId8"/>
    <sheet name="Sep" sheetId="13" r:id="rId9"/>
    <sheet name="Okt" sheetId="14" r:id="rId10"/>
    <sheet name="Nov" sheetId="15" r:id="rId11"/>
    <sheet name="Dez" sheetId="16" r:id="rId12"/>
  </sheets>
  <definedNames>
    <definedName name="AprSo1">DATE(KalenderJahr,4,1)-WEEKDAY(DATE(KalenderJahr,4,1))+1</definedName>
    <definedName name="AugSo1">DATE(KalenderJahr,8,1)-WEEKDAY(DATE(KalenderJahr,8,1))+1</definedName>
    <definedName name="DezSo1">DATE(KalenderJahr,12,1)-WEEKDAY(DATE(KalenderJahr,12,1))+1</definedName>
    <definedName name="FebSo1">DATE(KalenderJahr,2,1)-WEEKDAY(DATE(KalenderJahr,2,1))+1</definedName>
    <definedName name="HausaufgabenTage" localSheetId="3">Apr!$L$4:$L$33</definedName>
    <definedName name="HausaufgabenTage" localSheetId="7">Aug!$L$4:$L$33</definedName>
    <definedName name="HausaufgabenTage" localSheetId="11">Dez!$L$4:$L$33</definedName>
    <definedName name="HausaufgabenTage" localSheetId="1">Feb!$L$4:$L$33</definedName>
    <definedName name="HausaufgabenTage" localSheetId="6">Jul!$L$4:$L$33</definedName>
    <definedName name="HausaufgabenTage" localSheetId="5">Jun!$L$4:$L$33</definedName>
    <definedName name="HausaufgabenTage" localSheetId="4">Mai!$L$4:$L$33</definedName>
    <definedName name="HausaufgabenTage" localSheetId="2">Mrz!$L$4:$L$33</definedName>
    <definedName name="HausaufgabenTage" localSheetId="10">Nov!$L$4:$L$33</definedName>
    <definedName name="HausaufgabenTage" localSheetId="9">Okt!$L$4:$L$33</definedName>
    <definedName name="HausaufgabenTage" localSheetId="8">Sep!$L$4:$L$33</definedName>
    <definedName name="HausaufgabenTage">Jan!$L$4:$L$33</definedName>
    <definedName name="JanSo1">DATE(KalenderJahr,1,1)-WEEKDAY(DATE(KalenderJahr,1,1))+1</definedName>
    <definedName name="JulSo1">DATE(KalenderJahr,7,1)-WEEKDAY(DATE(KalenderJahr,7,1))+1</definedName>
    <definedName name="JunSo1">DATE(KalenderJahr,6,1)-WEEKDAY(DATE(KalenderJahr,6,1))+1</definedName>
    <definedName name="KalenderJahr">Jan!$N$2</definedName>
    <definedName name="MaiSo1">DATE(KalenderJahr,5,1)-WEEKDAY(DATE(KalenderJahr,5,1))+1</definedName>
    <definedName name="MrzSo1">DATE(KalenderJahr,3,1)-WEEKDAY(DATE(KalenderJahr,3,1))+1</definedName>
    <definedName name="NovSo1">DATE(KalenderJahr,11,1)-WEEKDAY(DATE(KalenderJahr,11,1))+1</definedName>
    <definedName name="OktSo1">DATE(KalenderJahr,10,1)-WEEKDAY(DATE(KalenderJahr,10,1))+1</definedName>
    <definedName name="_xlnm.Print_Area" localSheetId="3">Apr!$A$1:$N$33</definedName>
    <definedName name="_xlnm.Print_Area" localSheetId="7">Aug!$A$1:$N$33</definedName>
    <definedName name="_xlnm.Print_Area" localSheetId="11">Dez!$A$1:$N$33</definedName>
    <definedName name="_xlnm.Print_Area" localSheetId="1">Feb!$A$1:$N$33</definedName>
    <definedName name="_xlnm.Print_Area" localSheetId="0">Jan!$A$1:$N$33</definedName>
    <definedName name="_xlnm.Print_Area" localSheetId="6">Jul!$A$1:$N$33</definedName>
    <definedName name="_xlnm.Print_Area" localSheetId="5">Jun!$A$1:$N$33</definedName>
    <definedName name="_xlnm.Print_Area" localSheetId="4">Mai!$A$1:$N$33</definedName>
    <definedName name="_xlnm.Print_Area" localSheetId="2">Mrz!$A$1:$N$33</definedName>
    <definedName name="_xlnm.Print_Area" localSheetId="10">Nov!$A$1:$N$33</definedName>
    <definedName name="_xlnm.Print_Area" localSheetId="9">Okt!$A$1:$N$33</definedName>
    <definedName name="_xlnm.Print_Area" localSheetId="8">Sep!$A$1:$N$33</definedName>
    <definedName name="SepSo1">DATE(KalenderJahr,9,1)-WEEKDAY(DATE(KalenderJahr,9,1))+1</definedName>
    <definedName name="WichtigeDatenTabelle" localSheetId="3">Apr!$L$4:$M$8</definedName>
    <definedName name="WichtigeDatenTabelle" localSheetId="7">Aug!$L$4:$M$8</definedName>
    <definedName name="WichtigeDatenTabelle" localSheetId="11">Dez!$L$4:$M$8</definedName>
    <definedName name="WichtigeDatenTabelle" localSheetId="1">Feb!$L$4:$M$8</definedName>
    <definedName name="WichtigeDatenTabelle" localSheetId="6">Jul!$L$4:$M$8</definedName>
    <definedName name="WichtigeDatenTabelle" localSheetId="5">Jun!$L$4:$M$8</definedName>
    <definedName name="WichtigeDatenTabelle" localSheetId="4">Mai!$L$4:$M$8</definedName>
    <definedName name="WichtigeDatenTabelle" localSheetId="2">Mrz!$L$4:$M$8</definedName>
    <definedName name="WichtigeDatenTabelle" localSheetId="10">Nov!$L$4:$M$8</definedName>
    <definedName name="WichtigeDatenTabelle" localSheetId="9">Okt!$L$4:$M$8</definedName>
    <definedName name="WichtigeDatenTabelle" localSheetId="8">Sep!$L$4:$M$8</definedName>
    <definedName name="WichtigeDatenTabelle">Jan!$L$4:$M$8</definedName>
  </definedNames>
  <calcPr calcId="171026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9" i="16" l="1"/>
  <c r="H9" i="16"/>
  <c r="G9" i="16"/>
  <c r="F9" i="16"/>
  <c r="E9" i="16"/>
  <c r="D9" i="16"/>
  <c r="C9" i="16"/>
  <c r="I8" i="16"/>
  <c r="H8" i="16"/>
  <c r="G8" i="16"/>
  <c r="F8" i="16"/>
  <c r="E8" i="16"/>
  <c r="D8" i="16"/>
  <c r="C8" i="16"/>
  <c r="I7" i="16"/>
  <c r="H7" i="16"/>
  <c r="G7" i="16"/>
  <c r="F7" i="16"/>
  <c r="E7" i="16"/>
  <c r="D7" i="16"/>
  <c r="C7" i="16"/>
  <c r="I6" i="16"/>
  <c r="H6" i="16"/>
  <c r="G6" i="16"/>
  <c r="F6" i="16"/>
  <c r="E6" i="16"/>
  <c r="D6" i="16"/>
  <c r="C6" i="16"/>
  <c r="I5" i="16"/>
  <c r="H5" i="16"/>
  <c r="G5" i="16"/>
  <c r="F5" i="16"/>
  <c r="E5" i="16"/>
  <c r="D5" i="16"/>
  <c r="C5" i="16"/>
  <c r="I4" i="16"/>
  <c r="H4" i="16"/>
  <c r="G4" i="16"/>
  <c r="F4" i="16"/>
  <c r="E4" i="16"/>
  <c r="D4" i="16"/>
  <c r="C4" i="16"/>
  <c r="I9" i="15"/>
  <c r="H9" i="15"/>
  <c r="G9" i="15"/>
  <c r="F9" i="15"/>
  <c r="E9" i="15"/>
  <c r="D9" i="15"/>
  <c r="C9" i="15"/>
  <c r="I8" i="15"/>
  <c r="H8" i="15"/>
  <c r="G8" i="15"/>
  <c r="F8" i="15"/>
  <c r="E8" i="15"/>
  <c r="D8" i="15"/>
  <c r="C8" i="15"/>
  <c r="I7" i="15"/>
  <c r="H7" i="15"/>
  <c r="G7" i="15"/>
  <c r="F7" i="15"/>
  <c r="E7" i="15"/>
  <c r="D7" i="15"/>
  <c r="C7" i="15"/>
  <c r="I6" i="15"/>
  <c r="H6" i="15"/>
  <c r="G6" i="15"/>
  <c r="F6" i="15"/>
  <c r="E6" i="15"/>
  <c r="D6" i="15"/>
  <c r="C6" i="15"/>
  <c r="I5" i="15"/>
  <c r="H5" i="15"/>
  <c r="G5" i="15"/>
  <c r="F5" i="15"/>
  <c r="E5" i="15"/>
  <c r="D5" i="15"/>
  <c r="C5" i="15"/>
  <c r="I4" i="15"/>
  <c r="H4" i="15"/>
  <c r="G4" i="15"/>
  <c r="F4" i="15"/>
  <c r="E4" i="15"/>
  <c r="D4" i="15"/>
  <c r="C4" i="15"/>
  <c r="I9" i="14"/>
  <c r="H9" i="14"/>
  <c r="G9" i="14"/>
  <c r="F9" i="14"/>
  <c r="E9" i="14"/>
  <c r="D9" i="14"/>
  <c r="C9" i="14"/>
  <c r="I8" i="14"/>
  <c r="H8" i="14"/>
  <c r="G8" i="14"/>
  <c r="F8" i="14"/>
  <c r="E8" i="14"/>
  <c r="D8" i="14"/>
  <c r="C8" i="14"/>
  <c r="I7" i="14"/>
  <c r="H7" i="14"/>
  <c r="G7" i="14"/>
  <c r="F7" i="14"/>
  <c r="E7" i="14"/>
  <c r="D7" i="14"/>
  <c r="C7" i="14"/>
  <c r="I6" i="14"/>
  <c r="H6" i="14"/>
  <c r="G6" i="14"/>
  <c r="F6" i="14"/>
  <c r="E6" i="14"/>
  <c r="D6" i="14"/>
  <c r="C6" i="14"/>
  <c r="I5" i="14"/>
  <c r="H5" i="14"/>
  <c r="G5" i="14"/>
  <c r="F5" i="14"/>
  <c r="E5" i="14"/>
  <c r="D5" i="14"/>
  <c r="C5" i="14"/>
  <c r="I4" i="14"/>
  <c r="H4" i="14"/>
  <c r="G4" i="14"/>
  <c r="F4" i="14"/>
  <c r="E4" i="14"/>
  <c r="D4" i="14"/>
  <c r="C4" i="14"/>
  <c r="I9" i="13"/>
  <c r="H9" i="13"/>
  <c r="G9" i="13"/>
  <c r="F9" i="13"/>
  <c r="E9" i="13"/>
  <c r="D9" i="13"/>
  <c r="C9" i="13"/>
  <c r="I8" i="13"/>
  <c r="H8" i="13"/>
  <c r="G8" i="13"/>
  <c r="F8" i="13"/>
  <c r="E8" i="13"/>
  <c r="D8" i="13"/>
  <c r="C8" i="13"/>
  <c r="I7" i="13"/>
  <c r="H7" i="13"/>
  <c r="G7" i="13"/>
  <c r="F7" i="13"/>
  <c r="E7" i="13"/>
  <c r="D7" i="13"/>
  <c r="C7" i="13"/>
  <c r="I6" i="13"/>
  <c r="H6" i="13"/>
  <c r="G6" i="13"/>
  <c r="F6" i="13"/>
  <c r="E6" i="13"/>
  <c r="D6" i="13"/>
  <c r="C6" i="13"/>
  <c r="I5" i="13"/>
  <c r="H5" i="13"/>
  <c r="G5" i="13"/>
  <c r="F5" i="13"/>
  <c r="E5" i="13"/>
  <c r="D5" i="13"/>
  <c r="C5" i="13"/>
  <c r="I4" i="13"/>
  <c r="H4" i="13"/>
  <c r="G4" i="13"/>
  <c r="F4" i="13"/>
  <c r="E4" i="13"/>
  <c r="D4" i="13"/>
  <c r="C4" i="13"/>
  <c r="I9" i="12"/>
  <c r="H9" i="12"/>
  <c r="G9" i="12"/>
  <c r="F9" i="12"/>
  <c r="E9" i="12"/>
  <c r="D9" i="12"/>
  <c r="C9" i="12"/>
  <c r="I8" i="12"/>
  <c r="H8" i="12"/>
  <c r="G8" i="12"/>
  <c r="F8" i="12"/>
  <c r="E8" i="12"/>
  <c r="D8" i="12"/>
  <c r="C8" i="12"/>
  <c r="I7" i="12"/>
  <c r="H7" i="12"/>
  <c r="G7" i="12"/>
  <c r="F7" i="12"/>
  <c r="E7" i="12"/>
  <c r="D7" i="12"/>
  <c r="C7" i="12"/>
  <c r="I6" i="12"/>
  <c r="H6" i="12"/>
  <c r="G6" i="12"/>
  <c r="F6" i="12"/>
  <c r="E6" i="12"/>
  <c r="D6" i="12"/>
  <c r="C6" i="12"/>
  <c r="I5" i="12"/>
  <c r="H5" i="12"/>
  <c r="G5" i="12"/>
  <c r="F5" i="12"/>
  <c r="E5" i="12"/>
  <c r="D5" i="12"/>
  <c r="C5" i="12"/>
  <c r="I4" i="12"/>
  <c r="H4" i="12"/>
  <c r="G4" i="12"/>
  <c r="F4" i="12"/>
  <c r="E4" i="12"/>
  <c r="D4" i="12"/>
  <c r="C4" i="12"/>
  <c r="I9" i="11"/>
  <c r="H9" i="11"/>
  <c r="G9" i="11"/>
  <c r="F9" i="11"/>
  <c r="E9" i="11"/>
  <c r="D9" i="11"/>
  <c r="C9" i="11"/>
  <c r="I8" i="11"/>
  <c r="H8" i="11"/>
  <c r="G8" i="11"/>
  <c r="F8" i="11"/>
  <c r="E8" i="11"/>
  <c r="D8" i="11"/>
  <c r="C8" i="11"/>
  <c r="I7" i="11"/>
  <c r="H7" i="11"/>
  <c r="G7" i="11"/>
  <c r="F7" i="11"/>
  <c r="E7" i="11"/>
  <c r="D7" i="11"/>
  <c r="C7" i="11"/>
  <c r="I6" i="11"/>
  <c r="H6" i="11"/>
  <c r="G6" i="11"/>
  <c r="F6" i="11"/>
  <c r="E6" i="11"/>
  <c r="D6" i="11"/>
  <c r="C6" i="11"/>
  <c r="I5" i="11"/>
  <c r="H5" i="11"/>
  <c r="G5" i="11"/>
  <c r="F5" i="11"/>
  <c r="E5" i="11"/>
  <c r="D5" i="11"/>
  <c r="C5" i="11"/>
  <c r="I4" i="11"/>
  <c r="H4" i="11"/>
  <c r="G4" i="11"/>
  <c r="F4" i="11"/>
  <c r="E4" i="11"/>
  <c r="D4" i="11"/>
  <c r="C4" i="11"/>
  <c r="I9" i="10"/>
  <c r="H9" i="10"/>
  <c r="G9" i="10"/>
  <c r="F9" i="10"/>
  <c r="E9" i="10"/>
  <c r="D9" i="10"/>
  <c r="C9" i="10"/>
  <c r="I8" i="10"/>
  <c r="H8" i="10"/>
  <c r="G8" i="10"/>
  <c r="F8" i="10"/>
  <c r="E8" i="10"/>
  <c r="D8" i="10"/>
  <c r="C8" i="10"/>
  <c r="I7" i="10"/>
  <c r="H7" i="10"/>
  <c r="G7" i="10"/>
  <c r="F7" i="10"/>
  <c r="E7" i="10"/>
  <c r="D7" i="10"/>
  <c r="C7" i="10"/>
  <c r="I6" i="10"/>
  <c r="H6" i="10"/>
  <c r="G6" i="10"/>
  <c r="F6" i="10"/>
  <c r="E6" i="10"/>
  <c r="D6" i="10"/>
  <c r="C6" i="10"/>
  <c r="I5" i="10"/>
  <c r="H5" i="10"/>
  <c r="G5" i="10"/>
  <c r="F5" i="10"/>
  <c r="E5" i="10"/>
  <c r="D5" i="10"/>
  <c r="C5" i="10"/>
  <c r="I4" i="10"/>
  <c r="H4" i="10"/>
  <c r="G4" i="10"/>
  <c r="F4" i="10"/>
  <c r="E4" i="10"/>
  <c r="D4" i="10"/>
  <c r="C4" i="10"/>
  <c r="I9" i="9"/>
  <c r="H9" i="9"/>
  <c r="G9" i="9"/>
  <c r="F9" i="9"/>
  <c r="E9" i="9"/>
  <c r="D9" i="9"/>
  <c r="C9" i="9"/>
  <c r="I8" i="9"/>
  <c r="H8" i="9"/>
  <c r="G8" i="9"/>
  <c r="F8" i="9"/>
  <c r="E8" i="9"/>
  <c r="D8" i="9"/>
  <c r="C8" i="9"/>
  <c r="I7" i="9"/>
  <c r="H7" i="9"/>
  <c r="G7" i="9"/>
  <c r="F7" i="9"/>
  <c r="E7" i="9"/>
  <c r="D7" i="9"/>
  <c r="C7" i="9"/>
  <c r="I6" i="9"/>
  <c r="H6" i="9"/>
  <c r="G6" i="9"/>
  <c r="F6" i="9"/>
  <c r="E6" i="9"/>
  <c r="D6" i="9"/>
  <c r="C6" i="9"/>
  <c r="I5" i="9"/>
  <c r="H5" i="9"/>
  <c r="G5" i="9"/>
  <c r="F5" i="9"/>
  <c r="E5" i="9"/>
  <c r="D5" i="9"/>
  <c r="C5" i="9"/>
  <c r="I4" i="9"/>
  <c r="H4" i="9"/>
  <c r="G4" i="9"/>
  <c r="F4" i="9"/>
  <c r="E4" i="9"/>
  <c r="D4" i="9"/>
  <c r="C4" i="9"/>
  <c r="I9" i="8"/>
  <c r="H9" i="8"/>
  <c r="G9" i="8"/>
  <c r="F9" i="8"/>
  <c r="E9" i="8"/>
  <c r="D9" i="8"/>
  <c r="C9" i="8"/>
  <c r="I8" i="8"/>
  <c r="H8" i="8"/>
  <c r="G8" i="8"/>
  <c r="F8" i="8"/>
  <c r="E8" i="8"/>
  <c r="D8" i="8"/>
  <c r="C8" i="8"/>
  <c r="I7" i="8"/>
  <c r="H7" i="8"/>
  <c r="G7" i="8"/>
  <c r="F7" i="8"/>
  <c r="E7" i="8"/>
  <c r="D7" i="8"/>
  <c r="C7" i="8"/>
  <c r="I6" i="8"/>
  <c r="H6" i="8"/>
  <c r="G6" i="8"/>
  <c r="F6" i="8"/>
  <c r="E6" i="8"/>
  <c r="D6" i="8"/>
  <c r="C6" i="8"/>
  <c r="I5" i="8"/>
  <c r="H5" i="8"/>
  <c r="G5" i="8"/>
  <c r="F5" i="8"/>
  <c r="E5" i="8"/>
  <c r="D5" i="8"/>
  <c r="C5" i="8"/>
  <c r="I4" i="8"/>
  <c r="H4" i="8"/>
  <c r="G4" i="8"/>
  <c r="F4" i="8"/>
  <c r="E4" i="8"/>
  <c r="D4" i="8"/>
  <c r="C4" i="8"/>
  <c r="I9" i="7"/>
  <c r="H9" i="7"/>
  <c r="G9" i="7"/>
  <c r="F9" i="7"/>
  <c r="E9" i="7"/>
  <c r="D9" i="7"/>
  <c r="C9" i="7"/>
  <c r="I8" i="7"/>
  <c r="H8" i="7"/>
  <c r="G8" i="7"/>
  <c r="F8" i="7"/>
  <c r="E8" i="7"/>
  <c r="D8" i="7"/>
  <c r="C8" i="7"/>
  <c r="I7" i="7"/>
  <c r="H7" i="7"/>
  <c r="G7" i="7"/>
  <c r="F7" i="7"/>
  <c r="E7" i="7"/>
  <c r="D7" i="7"/>
  <c r="C7" i="7"/>
  <c r="I6" i="7"/>
  <c r="H6" i="7"/>
  <c r="G6" i="7"/>
  <c r="F6" i="7"/>
  <c r="E6" i="7"/>
  <c r="D6" i="7"/>
  <c r="C6" i="7"/>
  <c r="I5" i="7"/>
  <c r="H5" i="7"/>
  <c r="G5" i="7"/>
  <c r="F5" i="7"/>
  <c r="E5" i="7"/>
  <c r="D5" i="7"/>
  <c r="C5" i="7"/>
  <c r="I4" i="7"/>
  <c r="H4" i="7"/>
  <c r="G4" i="7"/>
  <c r="F4" i="7"/>
  <c r="E4" i="7"/>
  <c r="D4" i="7"/>
  <c r="C4" i="7"/>
  <c r="I9" i="6"/>
  <c r="H9" i="6"/>
  <c r="G9" i="6"/>
  <c r="F9" i="6"/>
  <c r="E9" i="6"/>
  <c r="D9" i="6"/>
  <c r="C9" i="6"/>
  <c r="I8" i="6"/>
  <c r="H8" i="6"/>
  <c r="G8" i="6"/>
  <c r="F8" i="6"/>
  <c r="E8" i="6"/>
  <c r="D8" i="6"/>
  <c r="C8" i="6"/>
  <c r="I7" i="6"/>
  <c r="H7" i="6"/>
  <c r="G7" i="6"/>
  <c r="F7" i="6"/>
  <c r="E7" i="6"/>
  <c r="D7" i="6"/>
  <c r="C7" i="6"/>
  <c r="I6" i="6"/>
  <c r="H6" i="6"/>
  <c r="G6" i="6"/>
  <c r="F6" i="6"/>
  <c r="E6" i="6"/>
  <c r="D6" i="6"/>
  <c r="C6" i="6"/>
  <c r="I5" i="6"/>
  <c r="H5" i="6"/>
  <c r="G5" i="6"/>
  <c r="F5" i="6"/>
  <c r="E5" i="6"/>
  <c r="D5" i="6"/>
  <c r="C5" i="6"/>
  <c r="I4" i="6"/>
  <c r="H4" i="6"/>
  <c r="G4" i="6"/>
  <c r="F4" i="6"/>
  <c r="E4" i="6"/>
  <c r="D4" i="6"/>
  <c r="C4" i="6"/>
  <c r="I9" i="1"/>
  <c r="H9" i="1"/>
  <c r="G9" i="1"/>
  <c r="F9" i="1"/>
  <c r="E9" i="1"/>
  <c r="D9" i="1"/>
  <c r="C9" i="1"/>
  <c r="I8" i="1"/>
  <c r="H8" i="1"/>
  <c r="G8" i="1"/>
  <c r="F8" i="1"/>
  <c r="E8" i="1"/>
  <c r="D8" i="1"/>
  <c r="C8" i="1"/>
  <c r="I7" i="1"/>
  <c r="H7" i="1"/>
  <c r="G7" i="1"/>
  <c r="F7" i="1"/>
  <c r="E7" i="1"/>
  <c r="D7" i="1"/>
  <c r="C7" i="1"/>
  <c r="I6" i="1"/>
  <c r="H6" i="1"/>
  <c r="G6" i="1"/>
  <c r="F6" i="1"/>
  <c r="E6" i="1"/>
  <c r="D6" i="1"/>
  <c r="C6" i="1"/>
  <c r="I5" i="1"/>
  <c r="H5" i="1"/>
  <c r="G5" i="1"/>
  <c r="F5" i="1"/>
  <c r="E5" i="1"/>
  <c r="D5" i="1"/>
  <c r="C5" i="1"/>
  <c r="I4" i="1"/>
  <c r="H4" i="1"/>
  <c r="G4" i="1"/>
  <c r="F4" i="1"/>
  <c r="E4" i="1"/>
  <c r="D4" i="1"/>
  <c r="C4" i="1"/>
  <c r="N2" i="16"/>
  <c r="N2" i="15"/>
  <c r="N2" i="14"/>
  <c r="N2" i="13"/>
  <c r="N2" i="12"/>
  <c r="N2" i="11"/>
  <c r="N2" i="10"/>
  <c r="N2" i="9"/>
  <c r="N2" i="8"/>
  <c r="N2" i="7"/>
  <c r="N2" i="6"/>
</calcChain>
</file>

<file path=xl/sharedStrings.xml><?xml version="1.0" encoding="utf-8"?>
<sst xmlns="http://schemas.openxmlformats.org/spreadsheetml/2006/main" count="555" uniqueCount="39">
  <si>
    <t>HAUSAUFGABEN</t>
  </si>
  <si>
    <t>&lt; Geben Sie das Kalenderjahr in N2 ein. &gt;</t>
  </si>
  <si>
    <t>JAN</t>
  </si>
  <si>
    <t>Mo</t>
  </si>
  <si>
    <t>Di</t>
  </si>
  <si>
    <t>Mi</t>
  </si>
  <si>
    <t>Do</t>
  </si>
  <si>
    <t>Fr</t>
  </si>
  <si>
    <t>Sa</t>
  </si>
  <si>
    <t>So</t>
  </si>
  <si>
    <t>MO</t>
  </si>
  <si>
    <t>Französisch: Erster schriftlicher Entwurf fällig</t>
  </si>
  <si>
    <t>DI</t>
  </si>
  <si>
    <t>Kunstgeschichte: Test</t>
  </si>
  <si>
    <t>WOCHENPLAN</t>
  </si>
  <si>
    <t>MI</t>
  </si>
  <si>
    <t>DO</t>
  </si>
  <si>
    <t>FR</t>
  </si>
  <si>
    <t>8:00</t>
  </si>
  <si>
    <t>Französisch</t>
  </si>
  <si>
    <t>9:00</t>
  </si>
  <si>
    <t>Kunstgeschichte</t>
  </si>
  <si>
    <t>10:00</t>
  </si>
  <si>
    <t>Mathe</t>
  </si>
  <si>
    <t>14:00</t>
  </si>
  <si>
    <t>Englisch</t>
  </si>
  <si>
    <t>16:00</t>
  </si>
  <si>
    <t>Informatik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</si>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</sst>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21" x14ac:knownFonts="1">
    <font>
      <sz val="10"/>
      <color theme="1"/>
      <name val="Arial"/>
      <family val="2"/>
      <scheme val="minor"/>
    </font>
    <font>
      <sz val="12"/>
      <color rgb="FF002060"/>
      <name val="Arial"/>
      <family val="2"/>
      <scheme val="minor"/>
    </font>
    <font>
      <sz val="8"/>
      <name val="Arial"/>
      <family val="2"/>
      <scheme val="minor"/>
    </font>
    <font>
      <sz val="12"/>
      <color theme="4"/>
      <name val="Arial"/>
      <family val="2"/>
      <scheme val="major"/>
    </font>
    <font>
      <sz val="10"/>
      <color theme="1"/>
      <name val="Arial"/>
      <family val="2"/>
      <scheme val="major"/>
    </font>
    <font>
      <b/>
      <sz val="12"/>
      <color theme="4"/>
      <name val="Arial"/>
      <family val="2"/>
      <scheme val="major"/>
    </font>
    <font>
      <b/>
      <sz val="10"/>
      <color theme="1"/>
      <name val="Arial"/>
      <family val="2"/>
      <scheme val="minor"/>
    </font>
    <font>
      <b/>
      <sz val="12"/>
      <color theme="4"/>
      <name val="Arial"/>
      <family val="2"/>
      <scheme val="minor"/>
    </font>
    <font>
      <sz val="10"/>
      <color theme="0"/>
      <name val="Arial"/>
      <family val="2"/>
      <scheme val="minor"/>
    </font>
    <font>
      <b/>
      <sz val="8.5"/>
      <color theme="1"/>
      <name val="Arial"/>
      <family val="2"/>
      <scheme val="minor"/>
    </font>
    <font>
      <sz val="8.5"/>
      <color theme="1"/>
      <name val="Arial"/>
      <family val="2"/>
      <scheme val="minor"/>
    </font>
    <font>
      <b/>
      <sz val="8.5"/>
      <color theme="1"/>
      <name val="Arial"/>
      <family val="2"/>
      <scheme val="major"/>
    </font>
    <font>
      <sz val="10"/>
      <color theme="1" tint="0.249977111117893"/>
      <name val="Arial"/>
      <family val="2"/>
      <scheme val="minor"/>
    </font>
    <font>
      <sz val="12"/>
      <color theme="1" tint="0.249977111117893"/>
      <name val="Arial"/>
      <family val="2"/>
      <scheme val="minor"/>
    </font>
    <font>
      <sz val="10.5"/>
      <color theme="1" tint="0.249977111117893"/>
      <name val="Arial"/>
      <family val="2"/>
      <scheme val="minor"/>
    </font>
    <font>
      <b/>
      <sz val="10.5"/>
      <name val="Arial"/>
      <family val="2"/>
      <scheme val="minor"/>
    </font>
    <font>
      <b/>
      <sz val="17"/>
      <color theme="4"/>
      <name val="Arial"/>
      <family val="2"/>
      <scheme val="minor"/>
    </font>
    <font>
      <b/>
      <sz val="24"/>
      <color theme="4"/>
      <name val="Arial"/>
      <family val="2"/>
      <scheme val="minor"/>
    </font>
    <font>
      <b/>
      <sz val="26"/>
      <color theme="4"/>
      <name val="Arial"/>
      <family val="2"/>
      <scheme val="major"/>
    </font>
    <font>
      <b/>
      <sz val="10"/>
      <color rgb="FF39B5D4"/>
      <name val="Arial"/>
      <family val="2"/>
      <scheme val="minor"/>
    </font>
    <font>
      <b/>
      <sz val="10"/>
      <color theme="4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/>
      <top/>
      <bottom style="thin">
        <color theme="4" tint="0.79998168889431442"/>
      </bottom>
      <diagonal/>
    </border>
    <border>
      <left/>
      <right/>
      <top style="thin">
        <color theme="5"/>
      </top>
      <bottom style="thin">
        <color theme="4" tint="0.79998168889431442"/>
      </bottom>
      <diagonal/>
    </border>
    <border>
      <left/>
      <right style="thin">
        <color theme="0"/>
      </right>
      <top/>
      <bottom/>
      <diagonal/>
    </border>
    <border>
      <left style="thin">
        <color theme="4" tint="0.79998168889431442"/>
      </left>
      <right/>
      <top/>
      <bottom/>
      <diagonal/>
    </border>
    <border>
      <left style="thin">
        <color theme="4" tint="0.79998168889431442"/>
      </left>
      <right style="thin">
        <color theme="0"/>
      </right>
      <top/>
      <bottom/>
      <diagonal/>
    </border>
    <border>
      <left/>
      <right style="thin">
        <color theme="4" tint="0.79998168889431442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4" tint="0.79998168889431442"/>
      </left>
      <right style="thin">
        <color theme="0"/>
      </right>
      <top/>
      <bottom style="thin">
        <color theme="4" tint="0.79995117038483843"/>
      </bottom>
      <diagonal/>
    </border>
    <border>
      <left style="thin">
        <color theme="0"/>
      </left>
      <right/>
      <top/>
      <bottom style="thin">
        <color theme="4" tint="0.79995117038483843"/>
      </bottom>
      <diagonal/>
    </border>
    <border>
      <left/>
      <right style="thin">
        <color theme="0"/>
      </right>
      <top/>
      <bottom style="thin">
        <color theme="4" tint="0.79995117038483843"/>
      </bottom>
      <diagonal/>
    </border>
    <border>
      <left/>
      <right/>
      <top/>
      <bottom style="thin">
        <color theme="4" tint="0.79995117038483843"/>
      </bottom>
      <diagonal/>
    </border>
    <border>
      <left/>
      <right style="thin">
        <color theme="4" tint="0.79992065187536243"/>
      </right>
      <top/>
      <bottom style="thin">
        <color theme="4" tint="0.79995117038483843"/>
      </bottom>
      <diagonal/>
    </border>
    <border>
      <left/>
      <right style="thin">
        <color theme="4" tint="0.79992065187536243"/>
      </right>
      <top/>
      <bottom/>
      <diagonal/>
    </border>
    <border>
      <left/>
      <right/>
      <top style="thin">
        <color theme="4" tint="0.79998168889431442"/>
      </top>
      <bottom style="thin">
        <color theme="5"/>
      </bottom>
      <diagonal/>
    </border>
    <border>
      <left/>
      <right style="thin">
        <color theme="4" tint="0.79995117038483843"/>
      </right>
      <top style="thin">
        <color theme="5"/>
      </top>
      <bottom style="thin">
        <color theme="5"/>
      </bottom>
      <diagonal/>
    </border>
    <border>
      <left/>
      <right style="thin">
        <color theme="4" tint="0.79995117038483843"/>
      </right>
      <top style="thin">
        <color theme="4" tint="0.79998168889431442"/>
      </top>
      <bottom style="thin">
        <color theme="5"/>
      </bottom>
      <diagonal/>
    </border>
    <border>
      <left/>
      <right style="thin">
        <color theme="4" tint="0.79995117038483843"/>
      </right>
      <top style="thin">
        <color theme="5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4" tint="0.79998168889431442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4" tint="0.79992065187536243"/>
      </right>
      <top/>
      <bottom style="thin">
        <color theme="0"/>
      </bottom>
      <diagonal/>
    </border>
    <border>
      <left/>
      <right style="thin">
        <color theme="4" tint="0.79992065187536243"/>
      </right>
      <top style="thin">
        <color theme="0"/>
      </top>
      <bottom/>
      <diagonal/>
    </border>
    <border>
      <left style="thin">
        <color theme="4" tint="0.79992065187536243"/>
      </left>
      <right/>
      <top/>
      <bottom/>
      <diagonal/>
    </border>
    <border>
      <left style="thin">
        <color theme="4" tint="0.79992065187536243"/>
      </left>
      <right/>
      <top/>
      <bottom style="thin">
        <color theme="4" tint="0.79989013336588644"/>
      </bottom>
      <diagonal/>
    </border>
    <border>
      <left/>
      <right/>
      <top/>
      <bottom style="thin">
        <color theme="4" tint="0.79989013336588644"/>
      </bottom>
      <diagonal/>
    </border>
    <border>
      <left/>
      <right style="thin">
        <color theme="4" tint="0.79989013336588644"/>
      </right>
      <top/>
      <bottom style="thin">
        <color theme="4" tint="0.79989013336588644"/>
      </bottom>
      <diagonal/>
    </border>
    <border>
      <left style="thin">
        <color theme="4" tint="0.79992065187536243"/>
      </left>
      <right/>
      <top style="thin">
        <color theme="4" tint="0.79989013336588644"/>
      </top>
      <bottom/>
      <diagonal/>
    </border>
    <border>
      <left/>
      <right/>
      <top style="thin">
        <color theme="4" tint="0.79989013336588644"/>
      </top>
      <bottom/>
      <diagonal/>
    </border>
    <border>
      <left/>
      <right style="thin">
        <color theme="4" tint="0.79989013336588644"/>
      </right>
      <top style="thin">
        <color theme="4" tint="0.79989013336588644"/>
      </top>
      <bottom/>
      <diagonal/>
    </border>
    <border>
      <left style="thin">
        <color theme="4" tint="0.79992065187536243"/>
      </left>
      <right/>
      <top style="thin">
        <color theme="4" tint="0.79998168889431442"/>
      </top>
      <bottom/>
      <diagonal/>
    </border>
    <border>
      <left/>
      <right/>
      <top style="thin">
        <color theme="4" tint="0.79989013336588644"/>
      </top>
      <bottom style="thin">
        <color theme="5"/>
      </bottom>
      <diagonal/>
    </border>
    <border>
      <left/>
      <right style="thin">
        <color theme="4" tint="0.79995117038483843"/>
      </right>
      <top style="thin">
        <color theme="4" tint="0.79989013336588644"/>
      </top>
      <bottom style="thin">
        <color theme="5"/>
      </bottom>
      <diagonal/>
    </border>
    <border>
      <left style="thin">
        <color theme="4" tint="0.79998168889431442"/>
      </left>
      <right/>
      <top style="thin">
        <color theme="4" tint="0.79995117038483843"/>
      </top>
      <bottom/>
      <diagonal/>
    </border>
    <border>
      <left/>
      <right/>
      <top style="thin">
        <color theme="4" tint="0.79995117038483843"/>
      </top>
      <bottom/>
      <diagonal/>
    </border>
    <border>
      <left/>
      <right style="thin">
        <color theme="4" tint="0.79992065187536243"/>
      </right>
      <top style="thin">
        <color theme="4" tint="0.79995117038483843"/>
      </top>
      <bottom/>
      <diagonal/>
    </border>
    <border>
      <left style="thin">
        <color theme="4" tint="0.79998168889431442"/>
      </left>
      <right/>
      <top/>
      <bottom style="thin">
        <color theme="4" tint="0.79995117038483843"/>
      </bottom>
      <diagonal/>
    </border>
    <border>
      <left/>
      <right style="thin">
        <color theme="4" tint="0.79985961485641044"/>
      </right>
      <top style="thin">
        <color theme="4" tint="0.79985961485641044"/>
      </top>
      <bottom/>
      <diagonal/>
    </border>
    <border>
      <left/>
      <right style="thin">
        <color theme="4" tint="0.79985961485641044"/>
      </right>
      <top/>
      <bottom style="thin">
        <color theme="4" tint="0.79989013336588644"/>
      </bottom>
      <diagonal/>
    </border>
  </borders>
  <cellStyleXfs count="6">
    <xf numFmtId="0" fontId="0" fillId="0" borderId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Protection="0">
      <alignment textRotation="90"/>
    </xf>
  </cellStyleXfs>
  <cellXfs count="81">
    <xf numFmtId="0" fontId="0" fillId="0" borderId="0" xfId="0"/>
    <xf numFmtId="0" fontId="0" fillId="0" borderId="0" xfId="0" applyFont="1"/>
    <xf numFmtId="0" fontId="4" fillId="0" borderId="0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indent="1"/>
    </xf>
    <xf numFmtId="0" fontId="0" fillId="0" borderId="8" xfId="0" applyFont="1" applyBorder="1"/>
    <xf numFmtId="0" fontId="0" fillId="0" borderId="15" xfId="0" applyFont="1" applyBorder="1"/>
    <xf numFmtId="0" fontId="10" fillId="3" borderId="20" xfId="0" applyFont="1" applyFill="1" applyBorder="1" applyAlignment="1">
      <alignment horizontal="left" vertical="top" indent="1"/>
    </xf>
    <xf numFmtId="0" fontId="10" fillId="3" borderId="10" xfId="0" applyFont="1" applyFill="1" applyBorder="1" applyAlignment="1">
      <alignment horizontal="left" vertical="top" indent="1"/>
    </xf>
    <xf numFmtId="49" fontId="9" fillId="3" borderId="7" xfId="0" applyNumberFormat="1" applyFont="1" applyFill="1" applyBorder="1" applyAlignment="1">
      <alignment horizontal="left" indent="1"/>
    </xf>
    <xf numFmtId="49" fontId="9" fillId="3" borderId="23" xfId="0" applyNumberFormat="1" applyFont="1" applyFill="1" applyBorder="1" applyAlignment="1">
      <alignment horizontal="left" indent="1"/>
    </xf>
    <xf numFmtId="164" fontId="14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textRotation="90"/>
    </xf>
    <xf numFmtId="0" fontId="6" fillId="0" borderId="0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 textRotation="90"/>
    </xf>
    <xf numFmtId="164" fontId="1" fillId="0" borderId="13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164" fontId="6" fillId="0" borderId="13" xfId="0" applyNumberFormat="1" applyFont="1" applyFill="1" applyBorder="1" applyAlignment="1">
      <alignment horizontal="center"/>
    </xf>
    <xf numFmtId="0" fontId="0" fillId="0" borderId="39" xfId="0" applyFont="1" applyBorder="1"/>
    <xf numFmtId="0" fontId="0" fillId="0" borderId="40" xfId="0" applyFont="1" applyBorder="1"/>
    <xf numFmtId="164" fontId="15" fillId="0" borderId="13" xfId="0" applyNumberFormat="1" applyFont="1" applyFill="1" applyBorder="1" applyAlignment="1">
      <alignment horizontal="left" vertical="center" wrapText="1" indent="1"/>
    </xf>
    <xf numFmtId="0" fontId="0" fillId="0" borderId="14" xfId="0" applyFont="1" applyBorder="1"/>
    <xf numFmtId="0" fontId="19" fillId="0" borderId="0" xfId="0" applyFont="1" applyAlignment="1">
      <alignment vertical="center" wrapText="1"/>
    </xf>
    <xf numFmtId="0" fontId="17" fillId="0" borderId="41" xfId="2" applyFill="1" applyBorder="1" applyAlignment="1">
      <alignment vertical="top"/>
    </xf>
    <xf numFmtId="0" fontId="17" fillId="0" borderId="6" xfId="2" applyFill="1" applyBorder="1" applyAlignment="1">
      <alignment vertical="center" textRotation="90"/>
    </xf>
    <xf numFmtId="0" fontId="17" fillId="0" borderId="41" xfId="2" applyFill="1" applyBorder="1" applyAlignment="1">
      <alignment vertical="center" textRotation="90"/>
    </xf>
    <xf numFmtId="0" fontId="0" fillId="0" borderId="38" xfId="0" applyFont="1" applyBorder="1"/>
    <xf numFmtId="0" fontId="17" fillId="0" borderId="6" xfId="2" applyFill="1" applyBorder="1" applyAlignment="1">
      <alignment vertical="top"/>
    </xf>
    <xf numFmtId="0" fontId="7" fillId="0" borderId="35" xfId="5" applyBorder="1" applyAlignment="1">
      <alignment vertical="top"/>
    </xf>
    <xf numFmtId="0" fontId="7" fillId="0" borderId="28" xfId="5" applyBorder="1" applyAlignment="1">
      <alignment vertical="top"/>
    </xf>
    <xf numFmtId="0" fontId="12" fillId="0" borderId="2" xfId="0" applyFont="1" applyBorder="1" applyAlignment="1">
      <alignment horizontal="left"/>
    </xf>
    <xf numFmtId="0" fontId="12" fillId="0" borderId="17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19" xfId="0" applyFont="1" applyBorder="1" applyAlignment="1">
      <alignment horizontal="left"/>
    </xf>
    <xf numFmtId="0" fontId="12" fillId="0" borderId="16" xfId="0" applyFont="1" applyBorder="1" applyAlignment="1">
      <alignment horizontal="left"/>
    </xf>
    <xf numFmtId="0" fontId="12" fillId="0" borderId="18" xfId="0" applyFont="1" applyBorder="1" applyAlignment="1">
      <alignment horizontal="left"/>
    </xf>
    <xf numFmtId="0" fontId="8" fillId="2" borderId="9" xfId="0" applyFont="1" applyFill="1" applyBorder="1" applyAlignment="1">
      <alignment horizontal="left" indent="1"/>
    </xf>
    <xf numFmtId="0" fontId="8" fillId="2" borderId="15" xfId="0" applyFont="1" applyFill="1" applyBorder="1" applyAlignment="1">
      <alignment horizontal="left" indent="1"/>
    </xf>
    <xf numFmtId="0" fontId="8" fillId="2" borderId="5" xfId="0" applyFont="1" applyFill="1" applyBorder="1" applyAlignment="1">
      <alignment horizontal="left" indent="1"/>
    </xf>
    <xf numFmtId="0" fontId="16" fillId="0" borderId="32" xfId="3" applyBorder="1" applyAlignment="1">
      <alignment horizontal="left" vertical="center"/>
    </xf>
    <xf numFmtId="0" fontId="16" fillId="0" borderId="33" xfId="3" applyBorder="1" applyAlignment="1">
      <alignment horizontal="left" vertical="center"/>
    </xf>
    <xf numFmtId="0" fontId="16" fillId="0" borderId="29" xfId="3" applyBorder="1" applyAlignment="1">
      <alignment horizontal="left" vertical="center"/>
    </xf>
    <xf numFmtId="0" fontId="16" fillId="0" borderId="30" xfId="3" applyBorder="1" applyAlignment="1">
      <alignment horizontal="left" vertical="center"/>
    </xf>
    <xf numFmtId="0" fontId="7" fillId="0" borderId="32" xfId="5" applyBorder="1" applyAlignment="1">
      <alignment vertical="top"/>
    </xf>
    <xf numFmtId="0" fontId="12" fillId="0" borderId="36" xfId="0" applyFont="1" applyBorder="1" applyAlignment="1">
      <alignment horizontal="left"/>
    </xf>
    <xf numFmtId="0" fontId="12" fillId="0" borderId="37" xfId="0" applyFont="1" applyBorder="1" applyAlignment="1">
      <alignment horizontal="left"/>
    </xf>
    <xf numFmtId="0" fontId="16" fillId="0" borderId="34" xfId="3" applyFill="1" applyBorder="1" applyAlignment="1">
      <alignment horizontal="center" vertical="center"/>
    </xf>
    <xf numFmtId="0" fontId="16" fillId="0" borderId="31" xfId="3" applyFill="1" applyBorder="1" applyAlignment="1">
      <alignment horizontal="center" vertical="center"/>
    </xf>
    <xf numFmtId="0" fontId="10" fillId="3" borderId="21" xfId="0" applyFont="1" applyFill="1" applyBorder="1" applyAlignment="1">
      <alignment horizontal="left" vertical="top" indent="1"/>
    </xf>
    <xf numFmtId="0" fontId="10" fillId="3" borderId="22" xfId="0" applyFont="1" applyFill="1" applyBorder="1" applyAlignment="1">
      <alignment horizontal="left" vertical="top" indent="1"/>
    </xf>
    <xf numFmtId="49" fontId="9" fillId="3" borderId="9" xfId="0" applyNumberFormat="1" applyFont="1" applyFill="1" applyBorder="1" applyAlignment="1">
      <alignment horizontal="left" indent="1"/>
    </xf>
    <xf numFmtId="49" fontId="9" fillId="3" borderId="5" xfId="0" applyNumberFormat="1" applyFont="1" applyFill="1" applyBorder="1" applyAlignment="1">
      <alignment horizontal="left" indent="1"/>
    </xf>
    <xf numFmtId="49" fontId="9" fillId="3" borderId="24" xfId="0" applyNumberFormat="1" applyFont="1" applyFill="1" applyBorder="1" applyAlignment="1">
      <alignment horizontal="left" indent="1"/>
    </xf>
    <xf numFmtId="49" fontId="9" fillId="3" borderId="25" xfId="0" applyNumberFormat="1" applyFont="1" applyFill="1" applyBorder="1" applyAlignment="1">
      <alignment horizontal="left" indent="1"/>
    </xf>
    <xf numFmtId="0" fontId="10" fillId="3" borderId="11" xfId="0" applyFont="1" applyFill="1" applyBorder="1" applyAlignment="1">
      <alignment horizontal="left" vertical="top" indent="1"/>
    </xf>
    <xf numFmtId="0" fontId="10" fillId="3" borderId="12" xfId="0" applyFont="1" applyFill="1" applyBorder="1" applyAlignment="1">
      <alignment horizontal="left" vertical="top" indent="1"/>
    </xf>
    <xf numFmtId="164" fontId="10" fillId="3" borderId="21" xfId="0" applyNumberFormat="1" applyFont="1" applyFill="1" applyBorder="1" applyAlignment="1">
      <alignment horizontal="left" vertical="top" indent="1"/>
    </xf>
    <xf numFmtId="164" fontId="10" fillId="3" borderId="26" xfId="0" applyNumberFormat="1" applyFont="1" applyFill="1" applyBorder="1" applyAlignment="1">
      <alignment horizontal="left" vertical="top" indent="1"/>
    </xf>
    <xf numFmtId="49" fontId="9" fillId="3" borderId="27" xfId="0" applyNumberFormat="1" applyFont="1" applyFill="1" applyBorder="1" applyAlignment="1">
      <alignment horizontal="left" indent="1"/>
    </xf>
    <xf numFmtId="49" fontId="9" fillId="3" borderId="15" xfId="0" applyNumberFormat="1" applyFont="1" applyFill="1" applyBorder="1" applyAlignment="1">
      <alignment horizontal="left" indent="1"/>
    </xf>
    <xf numFmtId="49" fontId="9" fillId="3" borderId="9" xfId="0" applyNumberFormat="1" applyFont="1" applyFill="1" applyBorder="1" applyAlignment="1">
      <alignment horizontal="left" vertical="center" indent="1"/>
    </xf>
    <xf numFmtId="49" fontId="9" fillId="3" borderId="15" xfId="0" applyNumberFormat="1" applyFont="1" applyFill="1" applyBorder="1" applyAlignment="1">
      <alignment horizontal="left" vertical="center" indent="1"/>
    </xf>
    <xf numFmtId="0" fontId="11" fillId="3" borderId="21" xfId="0" applyFont="1" applyFill="1" applyBorder="1" applyAlignment="1">
      <alignment horizontal="left" vertical="top" indent="1"/>
    </xf>
    <xf numFmtId="0" fontId="11" fillId="3" borderId="26" xfId="0" applyFont="1" applyFill="1" applyBorder="1" applyAlignment="1">
      <alignment horizontal="left" vertical="top" indent="1"/>
    </xf>
    <xf numFmtId="0" fontId="10" fillId="3" borderId="26" xfId="0" applyFont="1" applyFill="1" applyBorder="1" applyAlignment="1">
      <alignment horizontal="left" vertical="top" indent="1"/>
    </xf>
    <xf numFmtId="0" fontId="17" fillId="0" borderId="6" xfId="2" applyFill="1" applyBorder="1" applyAlignment="1">
      <alignment vertical="top"/>
    </xf>
    <xf numFmtId="0" fontId="20" fillId="0" borderId="0" xfId="0" applyFont="1" applyAlignment="1">
      <alignment vertical="center" wrapText="1"/>
    </xf>
    <xf numFmtId="0" fontId="7" fillId="0" borderId="6" xfId="4" applyBorder="1" applyAlignment="1">
      <alignment horizontal="left" vertical="center"/>
    </xf>
    <xf numFmtId="0" fontId="7" fillId="0" borderId="0" xfId="4" applyAlignment="1">
      <alignment horizontal="left" vertical="center"/>
    </xf>
    <xf numFmtId="0" fontId="7" fillId="0" borderId="15" xfId="4" applyBorder="1" applyAlignment="1">
      <alignment horizontal="left" vertical="center"/>
    </xf>
    <xf numFmtId="164" fontId="13" fillId="0" borderId="4" xfId="0" applyNumberFormat="1" applyFont="1" applyFill="1" applyBorder="1" applyAlignment="1">
      <alignment horizontal="left"/>
    </xf>
    <xf numFmtId="164" fontId="13" fillId="0" borderId="19" xfId="0" applyNumberFormat="1" applyFont="1" applyFill="1" applyBorder="1" applyAlignment="1">
      <alignment horizontal="left"/>
    </xf>
    <xf numFmtId="49" fontId="11" fillId="3" borderId="9" xfId="0" applyNumberFormat="1" applyFont="1" applyFill="1" applyBorder="1" applyAlignment="1">
      <alignment horizontal="left" indent="1"/>
    </xf>
    <xf numFmtId="49" fontId="11" fillId="3" borderId="15" xfId="0" applyNumberFormat="1" applyFont="1" applyFill="1" applyBorder="1" applyAlignment="1">
      <alignment horizontal="left" indent="1"/>
    </xf>
    <xf numFmtId="164" fontId="10" fillId="3" borderId="11" xfId="0" applyNumberFormat="1" applyFont="1" applyFill="1" applyBorder="1" applyAlignment="1">
      <alignment horizontal="left" vertical="top" indent="1"/>
    </xf>
    <xf numFmtId="164" fontId="10" fillId="3" borderId="14" xfId="0" applyNumberFormat="1" applyFont="1" applyFill="1" applyBorder="1" applyAlignment="1">
      <alignment horizontal="left" vertical="top" indent="1"/>
    </xf>
    <xf numFmtId="0" fontId="16" fillId="0" borderId="42" xfId="3" applyBorder="1" applyAlignment="1">
      <alignment horizontal="center" vertical="center"/>
    </xf>
    <xf numFmtId="0" fontId="16" fillId="0" borderId="43" xfId="3" applyBorder="1" applyAlignment="1">
      <alignment horizontal="center" vertical="center"/>
    </xf>
  </cellXfs>
  <cellStyles count="6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59">
    <dxf>
      <fill>
        <patternFill>
          <bgColor theme="4" tint="0.79998168889431442"/>
        </patternFill>
      </fill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theme="4" tint="0.79998168889431442"/>
        </patternFill>
      </fill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ellenFormatHell7 2" pivot="0" count="7">
      <tableStyleElement type="wholeTable" dxfId="58"/>
      <tableStyleElement type="headerRow" dxfId="57"/>
      <tableStyleElement type="totalRow" dxfId="56"/>
      <tableStyleElement type="firstColumn" dxfId="55"/>
      <tableStyleElement type="lastColumn" dxfId="54"/>
      <tableStyleElement type="firstRowStripe" dxfId="53"/>
      <tableStyleElement type="firstColumnStripe" dxfId="52"/>
    </tableStyle>
    <tableStyle name="TabellenFormatHell9 2" pivot="0" count="4">
      <tableStyleElement type="wholeTable" dxfId="51"/>
      <tableStyleElement type="headerRow" dxfId="50"/>
      <tableStyleElement type="totalRow" dxfId="49"/>
      <tableStyleElement type="firstColumn" dxfId="4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10_college_cal">
  <a:themeElements>
    <a:clrScheme name="Assignment Calenda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39B5D4"/>
      </a:accent1>
      <a:accent2>
        <a:srgbClr val="FFCCCC"/>
      </a:accent2>
      <a:accent3>
        <a:srgbClr val="4DBB68"/>
      </a:accent3>
      <a:accent4>
        <a:srgbClr val="FFFB59"/>
      </a:accent4>
      <a:accent5>
        <a:srgbClr val="FF9900"/>
      </a:accent5>
      <a:accent6>
        <a:srgbClr val="AC75D5"/>
      </a:accent6>
      <a:hlink>
        <a:srgbClr val="57B5D4"/>
      </a:hlink>
      <a:folHlink>
        <a:srgbClr val="BA4F8B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A1:P33"/>
  <sheetViews>
    <sheetView showGridLines="0" tabSelected="1" zoomScaleNormal="100" zoomScalePageLayoutView="84" workbookViewId="0"/>
  </sheetViews>
  <sheetFormatPr defaultColWidth="8.6640625" defaultRowHeight="16.5" customHeight="1" x14ac:dyDescent="0.25"/>
  <cols>
    <col min="1" max="1" width="2.33203125" style="1" customWidth="1"/>
    <col min="2" max="2" width="12.6640625" style="1" customWidth="1"/>
    <col min="3" max="4" width="7.33203125" style="1" customWidth="1"/>
    <col min="5" max="6" width="6.6640625" style="1" customWidth="1"/>
    <col min="7" max="8" width="7.33203125" style="1" customWidth="1"/>
    <col min="9" max="10" width="6.6640625" style="1" customWidth="1"/>
    <col min="11" max="11" width="7.33203125" style="1" customWidth="1"/>
    <col min="12" max="12" width="3.88671875" customWidth="1"/>
    <col min="13" max="13" width="51.44140625" style="1" customWidth="1"/>
    <col min="14" max="14" width="10.6640625" style="1" customWidth="1"/>
    <col min="15" max="15" width="2.33203125" customWidth="1"/>
    <col min="16" max="16" width="40.6640625" customWidth="1"/>
    <col min="17" max="16384" width="8.6640625" style="1"/>
  </cols>
  <sheetData>
    <row r="1" spans="1:16" ht="11.25" customHeight="1" x14ac:dyDescent="0.25"/>
    <row r="2" spans="1:16" ht="18" customHeight="1" x14ac:dyDescent="0.25">
      <c r="A2" s="4"/>
      <c r="B2" s="29"/>
      <c r="C2" s="21"/>
      <c r="D2" s="21"/>
      <c r="E2" s="21"/>
      <c r="F2" s="21"/>
      <c r="G2" s="21"/>
      <c r="H2" s="21"/>
      <c r="I2" s="21"/>
      <c r="J2" s="22"/>
      <c r="K2" s="42" t="s">
        <v>0</v>
      </c>
      <c r="L2" s="43">
        <v>2013</v>
      </c>
      <c r="M2" s="43"/>
      <c r="N2" s="49">
        <v>2016</v>
      </c>
      <c r="P2" s="69" t="s">
        <v>1</v>
      </c>
    </row>
    <row r="3" spans="1:16" ht="21" customHeight="1" x14ac:dyDescent="0.25">
      <c r="A3" s="4"/>
      <c r="B3" s="68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5"/>
      <c r="K3" s="44"/>
      <c r="L3" s="45"/>
      <c r="M3" s="45"/>
      <c r="N3" s="50"/>
      <c r="P3" s="69"/>
    </row>
    <row r="4" spans="1:16" ht="18" customHeight="1" x14ac:dyDescent="0.25">
      <c r="A4" s="4"/>
      <c r="B4" s="68"/>
      <c r="C4" s="10">
        <f>IF(DAY(JanSo1)=1,JanSo1-6,JanSo1+1)</f>
        <v>42366</v>
      </c>
      <c r="D4" s="10">
        <f>IF(DAY(JanSo1)=1,JanSo1-5,JanSo1+2)</f>
        <v>42367</v>
      </c>
      <c r="E4" s="10">
        <f>IF(DAY(JanSo1)=1,JanSo1-4,JanSo1+3)</f>
        <v>42368</v>
      </c>
      <c r="F4" s="10">
        <f>IF(DAY(JanSo1)=1,JanSo1-3,JanSo1+4)</f>
        <v>42369</v>
      </c>
      <c r="G4" s="10">
        <f>IF(DAY(JanSo1)=1,JanSo1-2,JanSo1+5)</f>
        <v>42370</v>
      </c>
      <c r="H4" s="10">
        <f>IF(DAY(JanSo1)=1,JanSo1-1,JanSo1+6)</f>
        <v>42371</v>
      </c>
      <c r="I4" s="10">
        <f>IF(DAY(JanSo1)=1,JanSo1,JanSo1+7)</f>
        <v>42372</v>
      </c>
      <c r="J4" s="5"/>
      <c r="K4" s="46" t="s">
        <v>10</v>
      </c>
      <c r="L4" s="16">
        <v>5</v>
      </c>
      <c r="M4" s="47" t="s">
        <v>11</v>
      </c>
      <c r="N4" s="48"/>
      <c r="P4" s="25"/>
    </row>
    <row r="5" spans="1:16" ht="18" customHeight="1" x14ac:dyDescent="0.25">
      <c r="A5" s="4"/>
      <c r="B5" s="30"/>
      <c r="C5" s="10">
        <f>IF(DAY(JanSo1)=1,JanSo1+1,JanSo1+8)</f>
        <v>42373</v>
      </c>
      <c r="D5" s="10">
        <f>IF(DAY(JanSo1)=1,JanSo1+2,JanSo1+9)</f>
        <v>42374</v>
      </c>
      <c r="E5" s="10">
        <f>IF(DAY(JanSo1)=1,JanSo1+3,JanSo1+10)</f>
        <v>42375</v>
      </c>
      <c r="F5" s="10">
        <f>IF(DAY(JanSo1)=1,JanSo1+4,JanSo1+11)</f>
        <v>42376</v>
      </c>
      <c r="G5" s="10">
        <f>IF(DAY(JanSo1)=1,JanSo1+5,JanSo1+12)</f>
        <v>42377</v>
      </c>
      <c r="H5" s="10">
        <f>IF(DAY(JanSo1)=1,JanSo1+6,JanSo1+13)</f>
        <v>42378</v>
      </c>
      <c r="I5" s="10">
        <f>IF(DAY(JanSo1)=1,JanSo1+7,JanSo1+14)</f>
        <v>42379</v>
      </c>
      <c r="J5" s="5"/>
      <c r="K5" s="32"/>
      <c r="L5" s="17"/>
      <c r="M5" s="33"/>
      <c r="N5" s="34"/>
      <c r="P5" s="25"/>
    </row>
    <row r="6" spans="1:16" ht="18" customHeight="1" x14ac:dyDescent="0.25">
      <c r="A6" s="4"/>
      <c r="B6" s="30"/>
      <c r="C6" s="10">
        <f>IF(DAY(JanSo1)=1,JanSo1+8,JanSo1+15)</f>
        <v>42380</v>
      </c>
      <c r="D6" s="10">
        <f>IF(DAY(JanSo1)=1,JanSo1+9,JanSo1+16)</f>
        <v>42381</v>
      </c>
      <c r="E6" s="10">
        <f>IF(DAY(JanSo1)=1,JanSo1+10,JanSo1+17)</f>
        <v>42382</v>
      </c>
      <c r="F6" s="10">
        <f>IF(DAY(JanSo1)=1,JanSo1+11,JanSo1+18)</f>
        <v>42383</v>
      </c>
      <c r="G6" s="10">
        <f>IF(DAY(JanSo1)=1,JanSo1+12,JanSo1+19)</f>
        <v>42384</v>
      </c>
      <c r="H6" s="10">
        <f>IF(DAY(JanSo1)=1,JanSo1+13,JanSo1+20)</f>
        <v>42385</v>
      </c>
      <c r="I6" s="10">
        <f>IF(DAY(JanSo1)=1,JanSo1+14,JanSo1+21)</f>
        <v>42386</v>
      </c>
      <c r="J6" s="5"/>
      <c r="K6" s="32"/>
      <c r="L6" s="17"/>
      <c r="M6" s="33"/>
      <c r="N6" s="34"/>
    </row>
    <row r="7" spans="1:16" ht="18" customHeight="1" x14ac:dyDescent="0.25">
      <c r="A7" s="4"/>
      <c r="B7" s="30"/>
      <c r="C7" s="10">
        <f>IF(DAY(JanSo1)=1,JanSo1+15,JanSo1+22)</f>
        <v>42387</v>
      </c>
      <c r="D7" s="10">
        <f>IF(DAY(JanSo1)=1,JanSo1+16,JanSo1+23)</f>
        <v>42388</v>
      </c>
      <c r="E7" s="10">
        <f>IF(DAY(JanSo1)=1,JanSo1+17,JanSo1+24)</f>
        <v>42389</v>
      </c>
      <c r="F7" s="10">
        <f>IF(DAY(JanSo1)=1,JanSo1+18,JanSo1+25)</f>
        <v>42390</v>
      </c>
      <c r="G7" s="10">
        <f>IF(DAY(JanSo1)=1,JanSo1+19,JanSo1+26)</f>
        <v>42391</v>
      </c>
      <c r="H7" s="10">
        <f>IF(DAY(JanSo1)=1,JanSo1+20,JanSo1+27)</f>
        <v>42392</v>
      </c>
      <c r="I7" s="10">
        <f>IF(DAY(JanSo1)=1,JanSo1+21,JanSo1+28)</f>
        <v>42393</v>
      </c>
      <c r="J7" s="5"/>
      <c r="K7" s="11"/>
      <c r="L7" s="17"/>
      <c r="M7" s="33"/>
      <c r="N7" s="34"/>
    </row>
    <row r="8" spans="1:16" ht="18.75" customHeight="1" x14ac:dyDescent="0.25">
      <c r="A8" s="4"/>
      <c r="B8" s="30"/>
      <c r="C8" s="10">
        <f>IF(DAY(JanSo1)=1,JanSo1+22,JanSo1+29)</f>
        <v>42394</v>
      </c>
      <c r="D8" s="10">
        <f>IF(DAY(JanSo1)=1,JanSo1+23,JanSo1+30)</f>
        <v>42395</v>
      </c>
      <c r="E8" s="10">
        <f>IF(DAY(JanSo1)=1,JanSo1+24,JanSo1+31)</f>
        <v>42396</v>
      </c>
      <c r="F8" s="10">
        <f>IF(DAY(JanSo1)=1,JanSo1+25,JanSo1+32)</f>
        <v>42397</v>
      </c>
      <c r="G8" s="10">
        <f>IF(DAY(JanSo1)=1,JanSo1+26,JanSo1+33)</f>
        <v>42398</v>
      </c>
      <c r="H8" s="10">
        <f>IF(DAY(JanSo1)=1,JanSo1+27,JanSo1+34)</f>
        <v>42399</v>
      </c>
      <c r="I8" s="10">
        <f>IF(DAY(JanSo1)=1,JanSo1+28,JanSo1+35)</f>
        <v>42400</v>
      </c>
      <c r="J8" s="5"/>
      <c r="K8" s="11"/>
      <c r="L8" s="17"/>
      <c r="M8" s="33"/>
      <c r="N8" s="34"/>
    </row>
    <row r="9" spans="1:16" ht="18" customHeight="1" x14ac:dyDescent="0.25">
      <c r="A9" s="4"/>
      <c r="B9" s="30"/>
      <c r="C9" s="10">
        <f>IF(DAY(JanSo1)=1,JanSo1+29,JanSo1+36)</f>
        <v>42401</v>
      </c>
      <c r="D9" s="10">
        <f>IF(DAY(JanSo1)=1,JanSo1+30,JanSo1+37)</f>
        <v>42402</v>
      </c>
      <c r="E9" s="10">
        <f>IF(DAY(JanSo1)=1,JanSo1+31,JanSo1+38)</f>
        <v>42403</v>
      </c>
      <c r="F9" s="10">
        <f>IF(DAY(JanSo1)=1,JanSo1+32,JanSo1+39)</f>
        <v>42404</v>
      </c>
      <c r="G9" s="10">
        <f>IF(DAY(JanSo1)=1,JanSo1+33,JanSo1+40)</f>
        <v>42405</v>
      </c>
      <c r="H9" s="10">
        <f>IF(DAY(JanSo1)=1,JanSo1+34,JanSo1+41)</f>
        <v>42406</v>
      </c>
      <c r="I9" s="10">
        <f>IF(DAY(JanSo1)=1,JanSo1+35,JanSo1+42)</f>
        <v>42407</v>
      </c>
      <c r="J9" s="5"/>
      <c r="K9" s="12"/>
      <c r="L9" s="18"/>
      <c r="M9" s="35"/>
      <c r="N9" s="36"/>
    </row>
    <row r="10" spans="1:16" ht="18" customHeight="1" x14ac:dyDescent="0.25">
      <c r="A10" s="4"/>
      <c r="B10" s="26"/>
      <c r="C10" s="23"/>
      <c r="D10" s="23"/>
      <c r="E10" s="23"/>
      <c r="F10" s="23"/>
      <c r="G10" s="23"/>
      <c r="H10" s="23"/>
      <c r="I10" s="23"/>
      <c r="J10" s="24"/>
      <c r="K10" s="31" t="s">
        <v>12</v>
      </c>
      <c r="L10" s="16">
        <v>20</v>
      </c>
      <c r="M10" s="37" t="s">
        <v>13</v>
      </c>
      <c r="N10" s="38"/>
    </row>
    <row r="11" spans="1:16" ht="18" customHeight="1" x14ac:dyDescent="0.25">
      <c r="A11" s="4"/>
      <c r="B11" s="70" t="s">
        <v>14</v>
      </c>
      <c r="C11" s="71"/>
      <c r="D11" s="71"/>
      <c r="E11" s="71"/>
      <c r="F11" s="71"/>
      <c r="G11" s="71"/>
      <c r="H11" s="71"/>
      <c r="I11" s="71"/>
      <c r="J11" s="72"/>
      <c r="K11" s="32"/>
      <c r="L11" s="17"/>
      <c r="M11" s="33"/>
      <c r="N11" s="34"/>
    </row>
    <row r="12" spans="1:16" ht="18" customHeight="1" x14ac:dyDescent="0.25">
      <c r="A12" s="4"/>
      <c r="B12" s="70"/>
      <c r="C12" s="71"/>
      <c r="D12" s="71"/>
      <c r="E12" s="71"/>
      <c r="F12" s="71"/>
      <c r="G12" s="71"/>
      <c r="H12" s="71"/>
      <c r="I12" s="71"/>
      <c r="J12" s="72"/>
      <c r="K12" s="32"/>
      <c r="L12" s="17"/>
      <c r="M12" s="33"/>
      <c r="N12" s="34"/>
    </row>
    <row r="13" spans="1:16" ht="18" customHeight="1" x14ac:dyDescent="0.25">
      <c r="B13" s="3" t="s">
        <v>10</v>
      </c>
      <c r="C13" s="39" t="s">
        <v>12</v>
      </c>
      <c r="D13" s="41"/>
      <c r="E13" s="39" t="s">
        <v>15</v>
      </c>
      <c r="F13" s="41"/>
      <c r="G13" s="39" t="s">
        <v>16</v>
      </c>
      <c r="H13" s="41"/>
      <c r="I13" s="39" t="s">
        <v>17</v>
      </c>
      <c r="J13" s="40"/>
      <c r="K13" s="11"/>
      <c r="L13" s="17"/>
      <c r="M13" s="33"/>
      <c r="N13" s="34"/>
    </row>
    <row r="14" spans="1:16" ht="18" customHeight="1" x14ac:dyDescent="0.25">
      <c r="B14" s="8" t="s">
        <v>18</v>
      </c>
      <c r="C14" s="53"/>
      <c r="D14" s="54"/>
      <c r="E14" s="53" t="s">
        <v>18</v>
      </c>
      <c r="F14" s="54"/>
      <c r="G14" s="53"/>
      <c r="H14" s="54"/>
      <c r="I14" s="53" t="s">
        <v>18</v>
      </c>
      <c r="J14" s="62"/>
      <c r="K14" s="11"/>
      <c r="L14" s="17"/>
      <c r="M14" s="33"/>
      <c r="N14" s="34"/>
    </row>
    <row r="15" spans="1:16" ht="18" customHeight="1" x14ac:dyDescent="0.25">
      <c r="B15" s="6" t="s">
        <v>19</v>
      </c>
      <c r="C15" s="51"/>
      <c r="D15" s="52"/>
      <c r="E15" s="51" t="s">
        <v>19</v>
      </c>
      <c r="F15" s="52"/>
      <c r="G15" s="51"/>
      <c r="H15" s="52"/>
      <c r="I15" s="59" t="s">
        <v>19</v>
      </c>
      <c r="J15" s="60"/>
      <c r="K15" s="13"/>
      <c r="L15" s="19"/>
      <c r="M15" s="35"/>
      <c r="N15" s="36"/>
    </row>
    <row r="16" spans="1:16" ht="18" customHeight="1" x14ac:dyDescent="0.25">
      <c r="B16" s="8"/>
      <c r="C16" s="53" t="s">
        <v>20</v>
      </c>
      <c r="D16" s="54"/>
      <c r="E16" s="53"/>
      <c r="F16" s="54"/>
      <c r="G16" s="53" t="s">
        <v>20</v>
      </c>
      <c r="H16" s="54"/>
      <c r="I16" s="63"/>
      <c r="J16" s="64"/>
      <c r="K16" s="31" t="s">
        <v>15</v>
      </c>
      <c r="L16" s="16"/>
      <c r="M16" s="37"/>
      <c r="N16" s="38"/>
    </row>
    <row r="17" spans="2:14" ht="18" customHeight="1" x14ac:dyDescent="0.25">
      <c r="B17" s="6"/>
      <c r="C17" s="51" t="s">
        <v>21</v>
      </c>
      <c r="D17" s="52"/>
      <c r="E17" s="51"/>
      <c r="F17" s="52"/>
      <c r="G17" s="51" t="s">
        <v>21</v>
      </c>
      <c r="H17" s="52"/>
      <c r="I17" s="59"/>
      <c r="J17" s="60"/>
      <c r="K17" s="32"/>
      <c r="L17" s="17"/>
      <c r="M17" s="33"/>
      <c r="N17" s="34"/>
    </row>
    <row r="18" spans="2:14" ht="18" customHeight="1" x14ac:dyDescent="0.25">
      <c r="B18" s="9" t="s">
        <v>22</v>
      </c>
      <c r="C18" s="55"/>
      <c r="D18" s="56"/>
      <c r="E18" s="55" t="s">
        <v>22</v>
      </c>
      <c r="F18" s="56"/>
      <c r="G18" s="55"/>
      <c r="H18" s="56"/>
      <c r="I18" s="55" t="s">
        <v>22</v>
      </c>
      <c r="J18" s="61"/>
      <c r="K18" s="32"/>
      <c r="L18" s="17"/>
      <c r="M18" s="33"/>
      <c r="N18" s="34"/>
    </row>
    <row r="19" spans="2:14" ht="18" customHeight="1" x14ac:dyDescent="0.25">
      <c r="B19" s="6" t="s">
        <v>23</v>
      </c>
      <c r="C19" s="51"/>
      <c r="D19" s="52"/>
      <c r="E19" s="51" t="s">
        <v>23</v>
      </c>
      <c r="F19" s="52"/>
      <c r="G19" s="51"/>
      <c r="H19" s="52"/>
      <c r="I19" s="59" t="s">
        <v>23</v>
      </c>
      <c r="J19" s="60"/>
      <c r="K19" s="11"/>
      <c r="L19" s="17"/>
      <c r="M19" s="33"/>
      <c r="N19" s="34"/>
    </row>
    <row r="20" spans="2:14" ht="18" customHeight="1" x14ac:dyDescent="0.25">
      <c r="B20" s="8"/>
      <c r="C20" s="53"/>
      <c r="D20" s="54"/>
      <c r="E20" s="53"/>
      <c r="F20" s="54"/>
      <c r="G20" s="53"/>
      <c r="H20" s="54"/>
      <c r="I20" s="53"/>
      <c r="J20" s="62"/>
      <c r="K20" s="11"/>
      <c r="L20" s="17"/>
      <c r="M20" s="33"/>
      <c r="N20" s="34"/>
    </row>
    <row r="21" spans="2:14" ht="18" customHeight="1" x14ac:dyDescent="0.25">
      <c r="B21" s="6"/>
      <c r="C21" s="51"/>
      <c r="D21" s="52"/>
      <c r="E21" s="51"/>
      <c r="F21" s="52"/>
      <c r="G21" s="51"/>
      <c r="H21" s="52"/>
      <c r="I21" s="65"/>
      <c r="J21" s="66"/>
      <c r="K21" s="13"/>
      <c r="L21" s="19"/>
      <c r="M21" s="35"/>
      <c r="N21" s="36"/>
    </row>
    <row r="22" spans="2:14" ht="18" customHeight="1" x14ac:dyDescent="0.25">
      <c r="B22" s="8"/>
      <c r="C22" s="53"/>
      <c r="D22" s="54"/>
      <c r="E22" s="53"/>
      <c r="F22" s="54"/>
      <c r="G22" s="53"/>
      <c r="H22" s="54"/>
      <c r="I22" s="53"/>
      <c r="J22" s="62"/>
      <c r="K22" s="31" t="s">
        <v>16</v>
      </c>
      <c r="L22" s="16"/>
      <c r="M22" s="37"/>
      <c r="N22" s="38"/>
    </row>
    <row r="23" spans="2:14" ht="18" customHeight="1" x14ac:dyDescent="0.25">
      <c r="B23" s="6"/>
      <c r="C23" s="51"/>
      <c r="D23" s="52"/>
      <c r="E23" s="51"/>
      <c r="F23" s="52"/>
      <c r="G23" s="51"/>
      <c r="H23" s="52"/>
      <c r="I23" s="59"/>
      <c r="J23" s="60"/>
      <c r="K23" s="32"/>
      <c r="L23" s="17"/>
      <c r="M23" s="33"/>
      <c r="N23" s="34"/>
    </row>
    <row r="24" spans="2:14" ht="18" customHeight="1" x14ac:dyDescent="0.25">
      <c r="B24" s="8"/>
      <c r="C24" s="53"/>
      <c r="D24" s="54"/>
      <c r="E24" s="53"/>
      <c r="F24" s="54"/>
      <c r="G24" s="53"/>
      <c r="H24" s="54"/>
      <c r="I24" s="53"/>
      <c r="J24" s="62"/>
      <c r="K24" s="32"/>
      <c r="L24" s="17"/>
      <c r="M24" s="33"/>
      <c r="N24" s="34"/>
    </row>
    <row r="25" spans="2:14" ht="18" customHeight="1" x14ac:dyDescent="0.25">
      <c r="B25" s="6"/>
      <c r="C25" s="51"/>
      <c r="D25" s="52"/>
      <c r="E25" s="51"/>
      <c r="F25" s="52"/>
      <c r="G25" s="51"/>
      <c r="H25" s="52"/>
      <c r="I25" s="59"/>
      <c r="J25" s="60"/>
      <c r="K25" s="32"/>
      <c r="L25" s="17"/>
      <c r="M25" s="33"/>
      <c r="N25" s="34"/>
    </row>
    <row r="26" spans="2:14" ht="18" customHeight="1" x14ac:dyDescent="0.25">
      <c r="B26" s="8" t="s">
        <v>24</v>
      </c>
      <c r="C26" s="53"/>
      <c r="D26" s="54"/>
      <c r="E26" s="53" t="s">
        <v>24</v>
      </c>
      <c r="F26" s="54"/>
      <c r="G26" s="53"/>
      <c r="H26" s="54"/>
      <c r="I26" s="53" t="s">
        <v>24</v>
      </c>
      <c r="J26" s="62"/>
      <c r="K26" s="11"/>
      <c r="L26" s="17"/>
      <c r="M26" s="33"/>
      <c r="N26" s="34"/>
    </row>
    <row r="27" spans="2:14" ht="18" customHeight="1" x14ac:dyDescent="0.25">
      <c r="B27" s="6" t="s">
        <v>25</v>
      </c>
      <c r="C27" s="51"/>
      <c r="D27" s="52"/>
      <c r="E27" s="51" t="s">
        <v>25</v>
      </c>
      <c r="F27" s="52"/>
      <c r="G27" s="51"/>
      <c r="H27" s="52"/>
      <c r="I27" s="59" t="s">
        <v>25</v>
      </c>
      <c r="J27" s="60"/>
      <c r="K27" s="13"/>
      <c r="L27" s="19"/>
      <c r="M27" s="35"/>
      <c r="N27" s="36"/>
    </row>
    <row r="28" spans="2:14" ht="18" customHeight="1" x14ac:dyDescent="0.25">
      <c r="B28" s="8"/>
      <c r="C28" s="53"/>
      <c r="D28" s="54"/>
      <c r="E28" s="53"/>
      <c r="F28" s="54"/>
      <c r="G28" s="53"/>
      <c r="H28" s="54"/>
      <c r="I28" s="53"/>
      <c r="J28" s="62"/>
      <c r="K28" s="31" t="s">
        <v>17</v>
      </c>
      <c r="L28" s="16"/>
      <c r="M28" s="37"/>
      <c r="N28" s="38"/>
    </row>
    <row r="29" spans="2:14" ht="18" customHeight="1" x14ac:dyDescent="0.25">
      <c r="B29" s="6"/>
      <c r="C29" s="51"/>
      <c r="D29" s="52"/>
      <c r="E29" s="51"/>
      <c r="F29" s="52"/>
      <c r="G29" s="51"/>
      <c r="H29" s="52"/>
      <c r="I29" s="51"/>
      <c r="J29" s="67"/>
      <c r="K29" s="32"/>
      <c r="L29" s="17"/>
      <c r="M29" s="33"/>
      <c r="N29" s="34"/>
    </row>
    <row r="30" spans="2:14" ht="18" customHeight="1" x14ac:dyDescent="0.25">
      <c r="B30" s="8"/>
      <c r="C30" s="53" t="s">
        <v>26</v>
      </c>
      <c r="D30" s="54"/>
      <c r="E30" s="53"/>
      <c r="F30" s="54"/>
      <c r="G30" s="53" t="s">
        <v>26</v>
      </c>
      <c r="H30" s="54"/>
      <c r="I30" s="75"/>
      <c r="J30" s="76"/>
      <c r="K30" s="32"/>
      <c r="L30" s="17"/>
      <c r="M30" s="33"/>
      <c r="N30" s="34"/>
    </row>
    <row r="31" spans="2:14" ht="18" customHeight="1" x14ac:dyDescent="0.25">
      <c r="B31" s="6"/>
      <c r="C31" s="51" t="s">
        <v>27</v>
      </c>
      <c r="D31" s="52"/>
      <c r="E31" s="51"/>
      <c r="F31" s="52"/>
      <c r="G31" s="51" t="s">
        <v>27</v>
      </c>
      <c r="H31" s="52"/>
      <c r="I31" s="51"/>
      <c r="J31" s="67"/>
      <c r="K31" s="14"/>
      <c r="L31" s="17"/>
      <c r="M31" s="33"/>
      <c r="N31" s="34"/>
    </row>
    <row r="32" spans="2:14" ht="18" customHeight="1" x14ac:dyDescent="0.25">
      <c r="B32" s="8"/>
      <c r="C32" s="53"/>
      <c r="D32" s="54"/>
      <c r="E32" s="53"/>
      <c r="F32" s="54"/>
      <c r="G32" s="53"/>
      <c r="H32" s="54"/>
      <c r="I32" s="63"/>
      <c r="J32" s="64"/>
      <c r="K32" s="14"/>
      <c r="L32" s="17"/>
      <c r="M32" s="33"/>
      <c r="N32" s="34"/>
    </row>
    <row r="33" spans="2:14" ht="18" customHeight="1" x14ac:dyDescent="0.25">
      <c r="B33" s="7"/>
      <c r="C33" s="57"/>
      <c r="D33" s="58"/>
      <c r="E33" s="57"/>
      <c r="F33" s="58"/>
      <c r="G33" s="57"/>
      <c r="H33" s="58"/>
      <c r="I33" s="77"/>
      <c r="J33" s="78"/>
      <c r="K33" s="15"/>
      <c r="L33" s="20"/>
      <c r="M33" s="73"/>
      <c r="N33" s="74"/>
    </row>
  </sheetData>
  <mergeCells count="124">
    <mergeCell ref="B3:B4"/>
    <mergeCell ref="P2:P3"/>
    <mergeCell ref="B11:J12"/>
    <mergeCell ref="M31:N31"/>
    <mergeCell ref="M32:N32"/>
    <mergeCell ref="M33:N33"/>
    <mergeCell ref="M26:N26"/>
    <mergeCell ref="M27:N27"/>
    <mergeCell ref="M28:N28"/>
    <mergeCell ref="M29:N29"/>
    <mergeCell ref="M30:N30"/>
    <mergeCell ref="M21:N21"/>
    <mergeCell ref="M22:N22"/>
    <mergeCell ref="M23:N23"/>
    <mergeCell ref="M24:N24"/>
    <mergeCell ref="M25:N25"/>
    <mergeCell ref="G30:H30"/>
    <mergeCell ref="G31:H31"/>
    <mergeCell ref="G32:H32"/>
    <mergeCell ref="G33:H33"/>
    <mergeCell ref="I30:J30"/>
    <mergeCell ref="I31:J31"/>
    <mergeCell ref="I32:J32"/>
    <mergeCell ref="I33:J33"/>
    <mergeCell ref="I25:J25"/>
    <mergeCell ref="I26:J26"/>
    <mergeCell ref="I27:J27"/>
    <mergeCell ref="I28:J28"/>
    <mergeCell ref="I29:J29"/>
    <mergeCell ref="G25:H25"/>
    <mergeCell ref="G26:H26"/>
    <mergeCell ref="G27:H27"/>
    <mergeCell ref="G28:H28"/>
    <mergeCell ref="G29:H29"/>
    <mergeCell ref="I22:J22"/>
    <mergeCell ref="I23:J23"/>
    <mergeCell ref="G22:H22"/>
    <mergeCell ref="G23:H23"/>
    <mergeCell ref="G24:H24"/>
    <mergeCell ref="I24:J24"/>
    <mergeCell ref="G20:H20"/>
    <mergeCell ref="G21:H21"/>
    <mergeCell ref="I19:J19"/>
    <mergeCell ref="I20:J20"/>
    <mergeCell ref="I21:J21"/>
    <mergeCell ref="G17:H17"/>
    <mergeCell ref="I17:J17"/>
    <mergeCell ref="G18:H18"/>
    <mergeCell ref="I18:J18"/>
    <mergeCell ref="G19:H19"/>
    <mergeCell ref="G14:H14"/>
    <mergeCell ref="I14:J14"/>
    <mergeCell ref="G15:H15"/>
    <mergeCell ref="I15:J15"/>
    <mergeCell ref="G16:H16"/>
    <mergeCell ref="I16:J16"/>
    <mergeCell ref="E18:F18"/>
    <mergeCell ref="E17:F17"/>
    <mergeCell ref="E16:F16"/>
    <mergeCell ref="E15:F15"/>
    <mergeCell ref="E14:F14"/>
    <mergeCell ref="E23:F23"/>
    <mergeCell ref="E22:F22"/>
    <mergeCell ref="E21:F21"/>
    <mergeCell ref="E20:F20"/>
    <mergeCell ref="E19:F19"/>
    <mergeCell ref="E28:F28"/>
    <mergeCell ref="E27:F27"/>
    <mergeCell ref="E26:F26"/>
    <mergeCell ref="E25:F25"/>
    <mergeCell ref="E24:F24"/>
    <mergeCell ref="E33:F33"/>
    <mergeCell ref="E32:F32"/>
    <mergeCell ref="E31:F31"/>
    <mergeCell ref="E30:F30"/>
    <mergeCell ref="E29:F29"/>
    <mergeCell ref="C16:D16"/>
    <mergeCell ref="C17:D17"/>
    <mergeCell ref="C18:D18"/>
    <mergeCell ref="C29:D29"/>
    <mergeCell ref="C30:D30"/>
    <mergeCell ref="C31:D31"/>
    <mergeCell ref="C32:D32"/>
    <mergeCell ref="C33:D33"/>
    <mergeCell ref="C24:D24"/>
    <mergeCell ref="C25:D25"/>
    <mergeCell ref="C26:D26"/>
    <mergeCell ref="C27:D27"/>
    <mergeCell ref="C28:D28"/>
    <mergeCell ref="K28:K30"/>
    <mergeCell ref="I13:J13"/>
    <mergeCell ref="G13:H13"/>
    <mergeCell ref="E13:F13"/>
    <mergeCell ref="C13:D13"/>
    <mergeCell ref="K2:M3"/>
    <mergeCell ref="K10:K12"/>
    <mergeCell ref="K4:K6"/>
    <mergeCell ref="M4:N4"/>
    <mergeCell ref="M5:N5"/>
    <mergeCell ref="M6:N6"/>
    <mergeCell ref="M7:N7"/>
    <mergeCell ref="M8:N8"/>
    <mergeCell ref="M9:N9"/>
    <mergeCell ref="M10:N10"/>
    <mergeCell ref="M11:N11"/>
    <mergeCell ref="N2:N3"/>
    <mergeCell ref="C19:D19"/>
    <mergeCell ref="C20:D20"/>
    <mergeCell ref="C21:D21"/>
    <mergeCell ref="C22:D22"/>
    <mergeCell ref="C23:D23"/>
    <mergeCell ref="C14:D14"/>
    <mergeCell ref="C15:D15"/>
    <mergeCell ref="K16:K18"/>
    <mergeCell ref="K22:K25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</mergeCells>
  <phoneticPr fontId="2" type="noConversion"/>
  <conditionalFormatting sqref="C4:H4">
    <cfRule type="expression" dxfId="47" priority="4" stopIfTrue="1">
      <formula>DAY(C4)&gt;8</formula>
    </cfRule>
  </conditionalFormatting>
  <conditionalFormatting sqref="C8:I10">
    <cfRule type="expression" dxfId="46" priority="3" stopIfTrue="1">
      <formula>AND(DAY(C8)&gt;=1,DAY(C8)&lt;=15)</formula>
    </cfRule>
  </conditionalFormatting>
  <conditionalFormatting sqref="C4:I9">
    <cfRule type="expression" dxfId="45" priority="15">
      <formula>VLOOKUP(DAY(C4),HausaufgabenTage,1,FALSE)=DAY(C4)</formula>
    </cfRule>
  </conditionalFormatting>
  <conditionalFormatting sqref="B14:J33">
    <cfRule type="expression" dxfId="44" priority="1">
      <formula>B14&lt;&gt;""</formula>
    </cfRule>
  </conditionalFormatting>
  <dataValidations count="1">
    <dataValidation allowBlank="1" showInputMessage="1" showErrorMessage="1" errorTitle="Invalid Year" error="Enter a year from 1900 to 9999, or use the scroll bar to find a year." sqref="N2"/>
  </dataValidations>
  <printOptions horizontalCentered="1" verticalCentered="1"/>
  <pageMargins left="0.5" right="0.5" top="0.5" bottom="0.5" header="0.3" footer="0.3"/>
  <pageSetup paperSize="9" scale="91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/>
    <pageSetUpPr fitToPage="1"/>
  </sheetPr>
  <dimension ref="A1:O33"/>
  <sheetViews>
    <sheetView showGridLines="0" zoomScaleNormal="100" zoomScalePageLayoutView="84" workbookViewId="0"/>
  </sheetViews>
  <sheetFormatPr defaultColWidth="8.6640625" defaultRowHeight="16.5" customHeight="1" x14ac:dyDescent="0.25"/>
  <cols>
    <col min="1" max="1" width="2.33203125" style="1" customWidth="1"/>
    <col min="2" max="2" width="12.6640625" style="1" customWidth="1"/>
    <col min="3" max="4" width="7.33203125" style="1" customWidth="1"/>
    <col min="5" max="6" width="6.6640625" style="1" customWidth="1"/>
    <col min="7" max="8" width="7.33203125" style="1" customWidth="1"/>
    <col min="9" max="10" width="6.6640625" style="1" customWidth="1"/>
    <col min="11" max="11" width="7.33203125" style="1" customWidth="1"/>
    <col min="12" max="12" width="3.88671875" customWidth="1"/>
    <col min="13" max="13" width="51.44140625" style="1" customWidth="1"/>
    <col min="14" max="14" width="10.6640625" style="1" customWidth="1"/>
    <col min="15" max="15" width="2.33203125" customWidth="1"/>
    <col min="16" max="16" width="40.6640625" style="1" customWidth="1"/>
    <col min="17" max="16384" width="8.6640625" style="1"/>
  </cols>
  <sheetData>
    <row r="1" spans="1:14" ht="11.25" customHeight="1" x14ac:dyDescent="0.25"/>
    <row r="2" spans="1:14" ht="18" customHeight="1" x14ac:dyDescent="0.25">
      <c r="A2" s="4"/>
      <c r="B2" s="29"/>
      <c r="C2" s="21"/>
      <c r="D2" s="21"/>
      <c r="E2" s="21"/>
      <c r="F2" s="21"/>
      <c r="G2" s="21"/>
      <c r="H2" s="21"/>
      <c r="I2" s="21"/>
      <c r="J2" s="22"/>
      <c r="K2" s="42" t="s">
        <v>0</v>
      </c>
      <c r="L2" s="43">
        <v>2013</v>
      </c>
      <c r="M2" s="43"/>
      <c r="N2" s="79">
        <f>KalenderJahr</f>
        <v>2016</v>
      </c>
    </row>
    <row r="3" spans="1:14" ht="21" customHeight="1" x14ac:dyDescent="0.25">
      <c r="A3" s="4"/>
      <c r="B3" s="68" t="s">
        <v>28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5"/>
      <c r="K3" s="44"/>
      <c r="L3" s="45"/>
      <c r="M3" s="45"/>
      <c r="N3" s="80"/>
    </row>
    <row r="4" spans="1:14" ht="18" customHeight="1" x14ac:dyDescent="0.25">
      <c r="A4" s="4"/>
      <c r="B4" s="68"/>
      <c r="C4" s="10">
        <f>IF(DAY(FebSo1)=1,FebSo1-6,FebSo1+1)</f>
        <v>42401</v>
      </c>
      <c r="D4" s="10">
        <f>IF(DAY(FebSo1)=1,FebSo1-5,FebSo1+2)</f>
        <v>42402</v>
      </c>
      <c r="E4" s="10">
        <f>IF(DAY(FebSo1)=1,FebSo1-4,FebSo1+3)</f>
        <v>42403</v>
      </c>
      <c r="F4" s="10">
        <f>IF(DAY(FebSo1)=1,FebSo1-3,FebSo1+4)</f>
        <v>42404</v>
      </c>
      <c r="G4" s="10">
        <f>IF(DAY(FebSo1)=1,FebSo1-2,FebSo1+5)</f>
        <v>42405</v>
      </c>
      <c r="H4" s="10">
        <f>IF(DAY(FebSo1)=1,FebSo1-1,FebSo1+6)</f>
        <v>42406</v>
      </c>
      <c r="I4" s="10">
        <f>IF(DAY(FebSo1)=1,FebSo1,FebSo1+7)</f>
        <v>42407</v>
      </c>
      <c r="J4" s="5"/>
      <c r="K4" s="46" t="s">
        <v>10</v>
      </c>
      <c r="L4" s="16"/>
      <c r="M4" s="47"/>
      <c r="N4" s="48"/>
    </row>
    <row r="5" spans="1:14" ht="18" customHeight="1" x14ac:dyDescent="0.25">
      <c r="A5" s="4"/>
      <c r="B5" s="27"/>
      <c r="C5" s="10">
        <f>IF(DAY(FebSo1)=1,FebSo1+1,FebSo1+8)</f>
        <v>42408</v>
      </c>
      <c r="D5" s="10">
        <f>IF(DAY(FebSo1)=1,FebSo1+2,FebSo1+9)</f>
        <v>42409</v>
      </c>
      <c r="E5" s="10">
        <f>IF(DAY(FebSo1)=1,FebSo1+3,FebSo1+10)</f>
        <v>42410</v>
      </c>
      <c r="F5" s="10">
        <f>IF(DAY(FebSo1)=1,FebSo1+4,FebSo1+11)</f>
        <v>42411</v>
      </c>
      <c r="G5" s="10">
        <f>IF(DAY(FebSo1)=1,FebSo1+5,FebSo1+12)</f>
        <v>42412</v>
      </c>
      <c r="H5" s="10">
        <f>IF(DAY(FebSo1)=1,FebSo1+6,FebSo1+13)</f>
        <v>42413</v>
      </c>
      <c r="I5" s="10">
        <f>IF(DAY(FebSo1)=1,FebSo1+7,FebSo1+14)</f>
        <v>42414</v>
      </c>
      <c r="J5" s="5"/>
      <c r="K5" s="32"/>
      <c r="L5" s="17"/>
      <c r="M5" s="33"/>
      <c r="N5" s="34"/>
    </row>
    <row r="6" spans="1:14" ht="18" customHeight="1" x14ac:dyDescent="0.25">
      <c r="A6" s="4"/>
      <c r="B6" s="27"/>
      <c r="C6" s="10">
        <f>IF(DAY(FebSo1)=1,FebSo1+8,FebSo1+15)</f>
        <v>42415</v>
      </c>
      <c r="D6" s="10">
        <f>IF(DAY(FebSo1)=1,FebSo1+9,FebSo1+16)</f>
        <v>42416</v>
      </c>
      <c r="E6" s="10">
        <f>IF(DAY(FebSo1)=1,FebSo1+10,FebSo1+17)</f>
        <v>42417</v>
      </c>
      <c r="F6" s="10">
        <f>IF(DAY(FebSo1)=1,FebSo1+11,FebSo1+18)</f>
        <v>42418</v>
      </c>
      <c r="G6" s="10">
        <f>IF(DAY(FebSo1)=1,FebSo1+12,FebSo1+19)</f>
        <v>42419</v>
      </c>
      <c r="H6" s="10">
        <f>IF(DAY(FebSo1)=1,FebSo1+13,FebSo1+20)</f>
        <v>42420</v>
      </c>
      <c r="I6" s="10">
        <f>IF(DAY(FebSo1)=1,FebSo1+14,FebSo1+21)</f>
        <v>42421</v>
      </c>
      <c r="J6" s="5"/>
      <c r="K6" s="32"/>
      <c r="L6" s="17"/>
      <c r="M6" s="33"/>
      <c r="N6" s="34"/>
    </row>
    <row r="7" spans="1:14" ht="18" customHeight="1" x14ac:dyDescent="0.25">
      <c r="A7" s="4"/>
      <c r="B7" s="27"/>
      <c r="C7" s="10">
        <f>IF(DAY(FebSo1)=1,FebSo1+15,FebSo1+22)</f>
        <v>42422</v>
      </c>
      <c r="D7" s="10">
        <f>IF(DAY(FebSo1)=1,FebSo1+16,FebSo1+23)</f>
        <v>42423</v>
      </c>
      <c r="E7" s="10">
        <f>IF(DAY(FebSo1)=1,FebSo1+17,FebSo1+24)</f>
        <v>42424</v>
      </c>
      <c r="F7" s="10">
        <f>IF(DAY(FebSo1)=1,FebSo1+18,FebSo1+25)</f>
        <v>42425</v>
      </c>
      <c r="G7" s="10">
        <f>IF(DAY(FebSo1)=1,FebSo1+19,FebSo1+26)</f>
        <v>42426</v>
      </c>
      <c r="H7" s="10">
        <f>IF(DAY(FebSo1)=1,FebSo1+20,FebSo1+27)</f>
        <v>42427</v>
      </c>
      <c r="I7" s="10">
        <f>IF(DAY(FebSo1)=1,FebSo1+21,FebSo1+28)</f>
        <v>42428</v>
      </c>
      <c r="J7" s="5"/>
      <c r="K7" s="11"/>
      <c r="L7" s="17"/>
      <c r="M7" s="33"/>
      <c r="N7" s="34"/>
    </row>
    <row r="8" spans="1:14" ht="18.75" customHeight="1" x14ac:dyDescent="0.25">
      <c r="A8" s="4"/>
      <c r="B8" s="27"/>
      <c r="C8" s="10">
        <f>IF(DAY(FebSo1)=1,FebSo1+22,FebSo1+29)</f>
        <v>42429</v>
      </c>
      <c r="D8" s="10">
        <f>IF(DAY(FebSo1)=1,FebSo1+23,FebSo1+30)</f>
        <v>42430</v>
      </c>
      <c r="E8" s="10">
        <f>IF(DAY(FebSo1)=1,FebSo1+24,FebSo1+31)</f>
        <v>42431</v>
      </c>
      <c r="F8" s="10">
        <f>IF(DAY(FebSo1)=1,FebSo1+25,FebSo1+32)</f>
        <v>42432</v>
      </c>
      <c r="G8" s="10">
        <f>IF(DAY(FebSo1)=1,FebSo1+26,FebSo1+33)</f>
        <v>42433</v>
      </c>
      <c r="H8" s="10">
        <f>IF(DAY(FebSo1)=1,FebSo1+27,FebSo1+34)</f>
        <v>42434</v>
      </c>
      <c r="I8" s="10">
        <f>IF(DAY(FebSo1)=1,FebSo1+28,FebSo1+35)</f>
        <v>42435</v>
      </c>
      <c r="J8" s="5"/>
      <c r="K8" s="11"/>
      <c r="L8" s="17"/>
      <c r="M8" s="33"/>
      <c r="N8" s="34"/>
    </row>
    <row r="9" spans="1:14" ht="18" customHeight="1" x14ac:dyDescent="0.25">
      <c r="A9" s="4"/>
      <c r="B9" s="27"/>
      <c r="C9" s="10">
        <f>IF(DAY(FebSo1)=1,FebSo1+29,FebSo1+36)</f>
        <v>42436</v>
      </c>
      <c r="D9" s="10">
        <f>IF(DAY(FebSo1)=1,FebSo1+30,FebSo1+37)</f>
        <v>42437</v>
      </c>
      <c r="E9" s="10">
        <f>IF(DAY(FebSo1)=1,FebSo1+31,FebSo1+38)</f>
        <v>42438</v>
      </c>
      <c r="F9" s="10">
        <f>IF(DAY(FebSo1)=1,FebSo1+32,FebSo1+39)</f>
        <v>42439</v>
      </c>
      <c r="G9" s="10">
        <f>IF(DAY(FebSo1)=1,FebSo1+33,FebSo1+40)</f>
        <v>42440</v>
      </c>
      <c r="H9" s="10">
        <f>IF(DAY(FebSo1)=1,FebSo1+34,FebSo1+41)</f>
        <v>42441</v>
      </c>
      <c r="I9" s="10">
        <f>IF(DAY(FebSo1)=1,FebSo1+35,FebSo1+42)</f>
        <v>42442</v>
      </c>
      <c r="J9" s="5"/>
      <c r="K9" s="12"/>
      <c r="L9" s="18"/>
      <c r="M9" s="35"/>
      <c r="N9" s="36"/>
    </row>
    <row r="10" spans="1:14" ht="18" customHeight="1" x14ac:dyDescent="0.25">
      <c r="A10" s="4"/>
      <c r="B10" s="28"/>
      <c r="C10" s="23"/>
      <c r="D10" s="23"/>
      <c r="E10" s="23"/>
      <c r="F10" s="23"/>
      <c r="G10" s="23"/>
      <c r="H10" s="23"/>
      <c r="I10" s="23"/>
      <c r="J10" s="24"/>
      <c r="K10" s="31" t="s">
        <v>12</v>
      </c>
      <c r="L10" s="16"/>
      <c r="M10" s="37"/>
      <c r="N10" s="38"/>
    </row>
    <row r="11" spans="1:14" ht="18" customHeight="1" x14ac:dyDescent="0.25">
      <c r="A11" s="4"/>
      <c r="B11" s="70" t="s">
        <v>14</v>
      </c>
      <c r="C11" s="71"/>
      <c r="D11" s="71"/>
      <c r="E11" s="71"/>
      <c r="F11" s="71"/>
      <c r="G11" s="71"/>
      <c r="H11" s="71"/>
      <c r="I11" s="71"/>
      <c r="J11" s="72"/>
      <c r="K11" s="32"/>
      <c r="L11" s="17"/>
      <c r="M11" s="33"/>
      <c r="N11" s="34"/>
    </row>
    <row r="12" spans="1:14" ht="18" customHeight="1" x14ac:dyDescent="0.25">
      <c r="A12" s="4"/>
      <c r="B12" s="70"/>
      <c r="C12" s="71"/>
      <c r="D12" s="71"/>
      <c r="E12" s="71"/>
      <c r="F12" s="71"/>
      <c r="G12" s="71"/>
      <c r="H12" s="71"/>
      <c r="I12" s="71"/>
      <c r="J12" s="72"/>
      <c r="K12" s="32"/>
      <c r="L12" s="17"/>
      <c r="M12" s="33"/>
      <c r="N12" s="34"/>
    </row>
    <row r="13" spans="1:14" ht="18" customHeight="1" x14ac:dyDescent="0.25">
      <c r="B13" s="3" t="s">
        <v>10</v>
      </c>
      <c r="C13" s="39" t="s">
        <v>12</v>
      </c>
      <c r="D13" s="41"/>
      <c r="E13" s="39" t="s">
        <v>15</v>
      </c>
      <c r="F13" s="41"/>
      <c r="G13" s="39" t="s">
        <v>16</v>
      </c>
      <c r="H13" s="41"/>
      <c r="I13" s="39" t="s">
        <v>17</v>
      </c>
      <c r="J13" s="40"/>
      <c r="K13" s="11"/>
      <c r="L13" s="17"/>
      <c r="M13" s="33"/>
      <c r="N13" s="34"/>
    </row>
    <row r="14" spans="1:14" ht="18" customHeight="1" x14ac:dyDescent="0.25">
      <c r="B14" s="8" t="s">
        <v>18</v>
      </c>
      <c r="C14" s="53"/>
      <c r="D14" s="54"/>
      <c r="E14" s="53" t="s">
        <v>18</v>
      </c>
      <c r="F14" s="54"/>
      <c r="G14" s="53"/>
      <c r="H14" s="54"/>
      <c r="I14" s="53" t="s">
        <v>18</v>
      </c>
      <c r="J14" s="62"/>
      <c r="K14" s="11"/>
      <c r="L14" s="17"/>
      <c r="M14" s="33"/>
      <c r="N14" s="34"/>
    </row>
    <row r="15" spans="1:14" ht="18" customHeight="1" x14ac:dyDescent="0.25">
      <c r="B15" s="6" t="s">
        <v>19</v>
      </c>
      <c r="C15" s="51"/>
      <c r="D15" s="52"/>
      <c r="E15" s="51" t="s">
        <v>19</v>
      </c>
      <c r="F15" s="52"/>
      <c r="G15" s="51"/>
      <c r="H15" s="52"/>
      <c r="I15" s="59" t="s">
        <v>19</v>
      </c>
      <c r="J15" s="60"/>
      <c r="K15" s="13"/>
      <c r="L15" s="19"/>
      <c r="M15" s="35"/>
      <c r="N15" s="36"/>
    </row>
    <row r="16" spans="1:14" ht="18" customHeight="1" x14ac:dyDescent="0.25">
      <c r="B16" s="8"/>
      <c r="C16" s="53" t="s">
        <v>20</v>
      </c>
      <c r="D16" s="54"/>
      <c r="E16" s="53"/>
      <c r="F16" s="54"/>
      <c r="G16" s="53" t="s">
        <v>20</v>
      </c>
      <c r="H16" s="54"/>
      <c r="I16" s="63"/>
      <c r="J16" s="64"/>
      <c r="K16" s="31" t="s">
        <v>15</v>
      </c>
      <c r="L16" s="16"/>
      <c r="M16" s="37"/>
      <c r="N16" s="38"/>
    </row>
    <row r="17" spans="2:14" ht="18" customHeight="1" x14ac:dyDescent="0.25">
      <c r="B17" s="6"/>
      <c r="C17" s="51" t="s">
        <v>21</v>
      </c>
      <c r="D17" s="52"/>
      <c r="E17" s="51"/>
      <c r="F17" s="52"/>
      <c r="G17" s="51" t="s">
        <v>21</v>
      </c>
      <c r="H17" s="52"/>
      <c r="I17" s="59"/>
      <c r="J17" s="60"/>
      <c r="K17" s="32"/>
      <c r="L17" s="17"/>
      <c r="M17" s="33"/>
      <c r="N17" s="34"/>
    </row>
    <row r="18" spans="2:14" ht="18" customHeight="1" x14ac:dyDescent="0.25">
      <c r="B18" s="9" t="s">
        <v>22</v>
      </c>
      <c r="C18" s="55"/>
      <c r="D18" s="56"/>
      <c r="E18" s="55" t="s">
        <v>22</v>
      </c>
      <c r="F18" s="56"/>
      <c r="G18" s="55"/>
      <c r="H18" s="56"/>
      <c r="I18" s="55" t="s">
        <v>22</v>
      </c>
      <c r="J18" s="61"/>
      <c r="K18" s="32"/>
      <c r="L18" s="17"/>
      <c r="M18" s="33"/>
      <c r="N18" s="34"/>
    </row>
    <row r="19" spans="2:14" ht="18" customHeight="1" x14ac:dyDescent="0.25">
      <c r="B19" s="6" t="s">
        <v>23</v>
      </c>
      <c r="C19" s="51"/>
      <c r="D19" s="52"/>
      <c r="E19" s="51" t="s">
        <v>23</v>
      </c>
      <c r="F19" s="52"/>
      <c r="G19" s="51"/>
      <c r="H19" s="52"/>
      <c r="I19" s="59" t="s">
        <v>23</v>
      </c>
      <c r="J19" s="60"/>
      <c r="K19" s="11"/>
      <c r="L19" s="17"/>
      <c r="M19" s="33"/>
      <c r="N19" s="34"/>
    </row>
    <row r="20" spans="2:14" ht="18" customHeight="1" x14ac:dyDescent="0.25">
      <c r="B20" s="8"/>
      <c r="C20" s="53"/>
      <c r="D20" s="54"/>
      <c r="E20" s="53"/>
      <c r="F20" s="54"/>
      <c r="G20" s="53"/>
      <c r="H20" s="54"/>
      <c r="I20" s="53"/>
      <c r="J20" s="62"/>
      <c r="K20" s="11"/>
      <c r="L20" s="17"/>
      <c r="M20" s="33"/>
      <c r="N20" s="34"/>
    </row>
    <row r="21" spans="2:14" ht="18" customHeight="1" x14ac:dyDescent="0.25">
      <c r="B21" s="6"/>
      <c r="C21" s="51"/>
      <c r="D21" s="52"/>
      <c r="E21" s="51"/>
      <c r="F21" s="52"/>
      <c r="G21" s="51"/>
      <c r="H21" s="52"/>
      <c r="I21" s="65"/>
      <c r="J21" s="66"/>
      <c r="K21" s="13"/>
      <c r="L21" s="19"/>
      <c r="M21" s="35"/>
      <c r="N21" s="36"/>
    </row>
    <row r="22" spans="2:14" ht="18" customHeight="1" x14ac:dyDescent="0.25">
      <c r="B22" s="8"/>
      <c r="C22" s="53"/>
      <c r="D22" s="54"/>
      <c r="E22" s="53"/>
      <c r="F22" s="54"/>
      <c r="G22" s="53"/>
      <c r="H22" s="54"/>
      <c r="I22" s="53"/>
      <c r="J22" s="62"/>
      <c r="K22" s="31" t="s">
        <v>16</v>
      </c>
      <c r="L22" s="16"/>
      <c r="M22" s="37"/>
      <c r="N22" s="38"/>
    </row>
    <row r="23" spans="2:14" ht="18" customHeight="1" x14ac:dyDescent="0.25">
      <c r="B23" s="6"/>
      <c r="C23" s="51"/>
      <c r="D23" s="52"/>
      <c r="E23" s="51"/>
      <c r="F23" s="52"/>
      <c r="G23" s="51"/>
      <c r="H23" s="52"/>
      <c r="I23" s="59"/>
      <c r="J23" s="60"/>
      <c r="K23" s="32"/>
      <c r="L23" s="17"/>
      <c r="M23" s="33"/>
      <c r="N23" s="34"/>
    </row>
    <row r="24" spans="2:14" ht="18" customHeight="1" x14ac:dyDescent="0.25">
      <c r="B24" s="8"/>
      <c r="C24" s="53"/>
      <c r="D24" s="54"/>
      <c r="E24" s="53"/>
      <c r="F24" s="54"/>
      <c r="G24" s="53"/>
      <c r="H24" s="54"/>
      <c r="I24" s="53"/>
      <c r="J24" s="62"/>
      <c r="K24" s="32"/>
      <c r="L24" s="17"/>
      <c r="M24" s="33"/>
      <c r="N24" s="34"/>
    </row>
    <row r="25" spans="2:14" ht="18" customHeight="1" x14ac:dyDescent="0.25">
      <c r="B25" s="6"/>
      <c r="C25" s="51"/>
      <c r="D25" s="52"/>
      <c r="E25" s="51"/>
      <c r="F25" s="52"/>
      <c r="G25" s="51"/>
      <c r="H25" s="52"/>
      <c r="I25" s="59"/>
      <c r="J25" s="60"/>
      <c r="K25" s="32"/>
      <c r="L25" s="17"/>
      <c r="M25" s="33"/>
      <c r="N25" s="34"/>
    </row>
    <row r="26" spans="2:14" ht="18" customHeight="1" x14ac:dyDescent="0.25">
      <c r="B26" s="8" t="s">
        <v>24</v>
      </c>
      <c r="C26" s="53"/>
      <c r="D26" s="54"/>
      <c r="E26" s="53" t="s">
        <v>24</v>
      </c>
      <c r="F26" s="54"/>
      <c r="G26" s="53"/>
      <c r="H26" s="54"/>
      <c r="I26" s="53" t="s">
        <v>24</v>
      </c>
      <c r="J26" s="62"/>
      <c r="K26" s="11"/>
      <c r="L26" s="17"/>
      <c r="M26" s="33"/>
      <c r="N26" s="34"/>
    </row>
    <row r="27" spans="2:14" ht="18" customHeight="1" x14ac:dyDescent="0.25">
      <c r="B27" s="6" t="s">
        <v>25</v>
      </c>
      <c r="C27" s="51"/>
      <c r="D27" s="52"/>
      <c r="E27" s="51" t="s">
        <v>25</v>
      </c>
      <c r="F27" s="52"/>
      <c r="G27" s="51"/>
      <c r="H27" s="52"/>
      <c r="I27" s="59" t="s">
        <v>25</v>
      </c>
      <c r="J27" s="60"/>
      <c r="K27" s="13"/>
      <c r="L27" s="19"/>
      <c r="M27" s="35"/>
      <c r="N27" s="36"/>
    </row>
    <row r="28" spans="2:14" ht="18" customHeight="1" x14ac:dyDescent="0.25">
      <c r="B28" s="8"/>
      <c r="C28" s="53"/>
      <c r="D28" s="54"/>
      <c r="E28" s="53"/>
      <c r="F28" s="54"/>
      <c r="G28" s="53"/>
      <c r="H28" s="54"/>
      <c r="I28" s="53"/>
      <c r="J28" s="62"/>
      <c r="K28" s="31" t="s">
        <v>17</v>
      </c>
      <c r="L28" s="16"/>
      <c r="M28" s="37"/>
      <c r="N28" s="38"/>
    </row>
    <row r="29" spans="2:14" ht="18" customHeight="1" x14ac:dyDescent="0.25">
      <c r="B29" s="6"/>
      <c r="C29" s="51"/>
      <c r="D29" s="52"/>
      <c r="E29" s="51"/>
      <c r="F29" s="52"/>
      <c r="G29" s="51"/>
      <c r="H29" s="52"/>
      <c r="I29" s="51"/>
      <c r="J29" s="67"/>
      <c r="K29" s="32"/>
      <c r="L29" s="17"/>
      <c r="M29" s="33"/>
      <c r="N29" s="34"/>
    </row>
    <row r="30" spans="2:14" ht="18" customHeight="1" x14ac:dyDescent="0.25">
      <c r="B30" s="8"/>
      <c r="C30" s="53" t="s">
        <v>26</v>
      </c>
      <c r="D30" s="54"/>
      <c r="E30" s="53"/>
      <c r="F30" s="54"/>
      <c r="G30" s="53" t="s">
        <v>26</v>
      </c>
      <c r="H30" s="54"/>
      <c r="I30" s="75"/>
      <c r="J30" s="76"/>
      <c r="K30" s="32"/>
      <c r="L30" s="17"/>
      <c r="M30" s="33"/>
      <c r="N30" s="34"/>
    </row>
    <row r="31" spans="2:14" ht="18" customHeight="1" x14ac:dyDescent="0.25">
      <c r="B31" s="6"/>
      <c r="C31" s="51" t="s">
        <v>27</v>
      </c>
      <c r="D31" s="52"/>
      <c r="E31" s="51"/>
      <c r="F31" s="52"/>
      <c r="G31" s="51" t="s">
        <v>27</v>
      </c>
      <c r="H31" s="52"/>
      <c r="I31" s="51"/>
      <c r="J31" s="67"/>
      <c r="K31" s="14"/>
      <c r="L31" s="17"/>
      <c r="M31" s="33"/>
      <c r="N31" s="34"/>
    </row>
    <row r="32" spans="2:14" ht="18" customHeight="1" x14ac:dyDescent="0.25">
      <c r="B32" s="8"/>
      <c r="C32" s="53"/>
      <c r="D32" s="54"/>
      <c r="E32" s="53"/>
      <c r="F32" s="54"/>
      <c r="G32" s="53"/>
      <c r="H32" s="54"/>
      <c r="I32" s="63"/>
      <c r="J32" s="64"/>
      <c r="K32" s="14"/>
      <c r="L32" s="17"/>
      <c r="M32" s="33"/>
      <c r="N32" s="34"/>
    </row>
    <row r="33" spans="2:14" ht="18" customHeight="1" x14ac:dyDescent="0.25">
      <c r="B33" s="7"/>
      <c r="C33" s="57"/>
      <c r="D33" s="58"/>
      <c r="E33" s="57"/>
      <c r="F33" s="58"/>
      <c r="G33" s="57"/>
      <c r="H33" s="58"/>
      <c r="I33" s="77"/>
      <c r="J33" s="78"/>
      <c r="K33" s="15"/>
      <c r="L33" s="20"/>
      <c r="M33" s="73"/>
      <c r="N33" s="74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conditionalFormatting sqref="C4:H4">
    <cfRule type="expression" dxfId="43" priority="3" stopIfTrue="1">
      <formula>DAY(C4)&gt;8</formula>
    </cfRule>
  </conditionalFormatting>
  <conditionalFormatting sqref="C8:I10">
    <cfRule type="expression" dxfId="42" priority="2" stopIfTrue="1">
      <formula>AND(DAY(C8)&gt;=1,DAY(C8)&lt;=15)</formula>
    </cfRule>
  </conditionalFormatting>
  <conditionalFormatting sqref="C4:I9">
    <cfRule type="expression" dxfId="41" priority="4">
      <formula>VLOOKUP(DAY(C4),HausaufgabenTage,1,FALSE)=DAY(C4)</formula>
    </cfRule>
  </conditionalFormatting>
  <conditionalFormatting sqref="B14:J33">
    <cfRule type="expression" dxfId="40" priority="1">
      <formula>B14&lt;&gt;""</formula>
    </cfRule>
  </conditionalFormatting>
  <printOptions horizontalCentered="1" verticalCentered="1"/>
  <pageMargins left="0.5" right="0.5" top="0.5" bottom="0.5" header="0.3" footer="0.3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/>
    <pageSetUpPr fitToPage="1"/>
  </sheetPr>
  <dimension ref="A1:O33"/>
  <sheetViews>
    <sheetView showGridLines="0" zoomScaleNormal="100" zoomScalePageLayoutView="84" workbookViewId="0"/>
  </sheetViews>
  <sheetFormatPr defaultColWidth="8.6640625" defaultRowHeight="16.5" customHeight="1" x14ac:dyDescent="0.25"/>
  <cols>
    <col min="1" max="1" width="2.33203125" style="1" customWidth="1"/>
    <col min="2" max="2" width="12.6640625" style="1" customWidth="1"/>
    <col min="3" max="4" width="7.33203125" style="1" customWidth="1"/>
    <col min="5" max="6" width="6.6640625" style="1" customWidth="1"/>
    <col min="7" max="8" width="7.33203125" style="1" customWidth="1"/>
    <col min="9" max="10" width="6.6640625" style="1" customWidth="1"/>
    <col min="11" max="11" width="7.33203125" style="1" customWidth="1"/>
    <col min="12" max="12" width="3.88671875" customWidth="1"/>
    <col min="13" max="13" width="51.44140625" style="1" customWidth="1"/>
    <col min="14" max="14" width="10.6640625" style="1" customWidth="1"/>
    <col min="15" max="15" width="2.33203125" customWidth="1"/>
    <col min="16" max="16" width="40.6640625" style="1" customWidth="1"/>
    <col min="17" max="16384" width="8.6640625" style="1"/>
  </cols>
  <sheetData>
    <row r="1" spans="1:14" ht="11.25" customHeight="1" x14ac:dyDescent="0.25"/>
    <row r="2" spans="1:14" ht="18" customHeight="1" x14ac:dyDescent="0.25">
      <c r="A2" s="4"/>
      <c r="B2" s="29"/>
      <c r="C2" s="21"/>
      <c r="D2" s="21"/>
      <c r="E2" s="21"/>
      <c r="F2" s="21"/>
      <c r="G2" s="21"/>
      <c r="H2" s="21"/>
      <c r="I2" s="21"/>
      <c r="J2" s="22"/>
      <c r="K2" s="42" t="s">
        <v>0</v>
      </c>
      <c r="L2" s="43">
        <v>2013</v>
      </c>
      <c r="M2" s="43"/>
      <c r="N2" s="79">
        <f>KalenderJahr</f>
        <v>2016</v>
      </c>
    </row>
    <row r="3" spans="1:14" ht="21" customHeight="1" x14ac:dyDescent="0.25">
      <c r="A3" s="4"/>
      <c r="B3" s="68" t="s">
        <v>29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5"/>
      <c r="K3" s="44"/>
      <c r="L3" s="45"/>
      <c r="M3" s="45"/>
      <c r="N3" s="80"/>
    </row>
    <row r="4" spans="1:14" ht="18" customHeight="1" x14ac:dyDescent="0.25">
      <c r="A4" s="4"/>
      <c r="B4" s="68"/>
      <c r="C4" s="10">
        <f>IF(DAY(MrzSo1)=1,MrzSo1-6,MrzSo1+1)</f>
        <v>42429</v>
      </c>
      <c r="D4" s="10">
        <f>IF(DAY(MrzSo1)=1,MrzSo1-5,MrzSo1+2)</f>
        <v>42430</v>
      </c>
      <c r="E4" s="10">
        <f>IF(DAY(MrzSo1)=1,MrzSo1-4,MrzSo1+3)</f>
        <v>42431</v>
      </c>
      <c r="F4" s="10">
        <f>IF(DAY(MrzSo1)=1,MrzSo1-3,MrzSo1+4)</f>
        <v>42432</v>
      </c>
      <c r="G4" s="10">
        <f>IF(DAY(MrzSo1)=1,MrzSo1-2,MrzSo1+5)</f>
        <v>42433</v>
      </c>
      <c r="H4" s="10">
        <f>IF(DAY(MrzSo1)=1,MrzSo1-1,MrzSo1+6)</f>
        <v>42434</v>
      </c>
      <c r="I4" s="10">
        <f>IF(DAY(MrzSo1)=1,MrzSo1,MrzSo1+7)</f>
        <v>42435</v>
      </c>
      <c r="J4" s="5"/>
      <c r="K4" s="46" t="s">
        <v>10</v>
      </c>
      <c r="L4" s="16"/>
      <c r="M4" s="47"/>
      <c r="N4" s="48"/>
    </row>
    <row r="5" spans="1:14" ht="18" customHeight="1" x14ac:dyDescent="0.25">
      <c r="A5" s="4"/>
      <c r="B5" s="27"/>
      <c r="C5" s="10">
        <f>IF(DAY(MrzSo1)=1,MrzSo1+1,MrzSo1+8)</f>
        <v>42436</v>
      </c>
      <c r="D5" s="10">
        <f>IF(DAY(MrzSo1)=1,MrzSo1+2,MrzSo1+9)</f>
        <v>42437</v>
      </c>
      <c r="E5" s="10">
        <f>IF(DAY(MrzSo1)=1,MrzSo1+3,MrzSo1+10)</f>
        <v>42438</v>
      </c>
      <c r="F5" s="10">
        <f>IF(DAY(MrzSo1)=1,MrzSo1+4,MrzSo1+11)</f>
        <v>42439</v>
      </c>
      <c r="G5" s="10">
        <f>IF(DAY(MrzSo1)=1,MrzSo1+5,MrzSo1+12)</f>
        <v>42440</v>
      </c>
      <c r="H5" s="10">
        <f>IF(DAY(MrzSo1)=1,MrzSo1+6,MrzSo1+13)</f>
        <v>42441</v>
      </c>
      <c r="I5" s="10">
        <f>IF(DAY(MrzSo1)=1,MrzSo1+7,MrzSo1+14)</f>
        <v>42442</v>
      </c>
      <c r="J5" s="5"/>
      <c r="K5" s="32"/>
      <c r="L5" s="17"/>
      <c r="M5" s="33"/>
      <c r="N5" s="34"/>
    </row>
    <row r="6" spans="1:14" ht="18" customHeight="1" x14ac:dyDescent="0.25">
      <c r="A6" s="4"/>
      <c r="B6" s="27"/>
      <c r="C6" s="10">
        <f>IF(DAY(MrzSo1)=1,MrzSo1+8,MrzSo1+15)</f>
        <v>42443</v>
      </c>
      <c r="D6" s="10">
        <f>IF(DAY(MrzSo1)=1,MrzSo1+9,MrzSo1+16)</f>
        <v>42444</v>
      </c>
      <c r="E6" s="10">
        <f>IF(DAY(MrzSo1)=1,MrzSo1+10,MrzSo1+17)</f>
        <v>42445</v>
      </c>
      <c r="F6" s="10">
        <f>IF(DAY(MrzSo1)=1,MrzSo1+11,MrzSo1+18)</f>
        <v>42446</v>
      </c>
      <c r="G6" s="10">
        <f>IF(DAY(MrzSo1)=1,MrzSo1+12,MrzSo1+19)</f>
        <v>42447</v>
      </c>
      <c r="H6" s="10">
        <f>IF(DAY(MrzSo1)=1,MrzSo1+13,MrzSo1+20)</f>
        <v>42448</v>
      </c>
      <c r="I6" s="10">
        <f>IF(DAY(MrzSo1)=1,MrzSo1+14,MrzSo1+21)</f>
        <v>42449</v>
      </c>
      <c r="J6" s="5"/>
      <c r="K6" s="32"/>
      <c r="L6" s="17"/>
      <c r="M6" s="33"/>
      <c r="N6" s="34"/>
    </row>
    <row r="7" spans="1:14" ht="18" customHeight="1" x14ac:dyDescent="0.25">
      <c r="A7" s="4"/>
      <c r="B7" s="27"/>
      <c r="C7" s="10">
        <f>IF(DAY(MrzSo1)=1,MrzSo1+15,MrzSo1+22)</f>
        <v>42450</v>
      </c>
      <c r="D7" s="10">
        <f>IF(DAY(MrzSo1)=1,MrzSo1+16,MrzSo1+23)</f>
        <v>42451</v>
      </c>
      <c r="E7" s="10">
        <f>IF(DAY(MrzSo1)=1,MrzSo1+17,MrzSo1+24)</f>
        <v>42452</v>
      </c>
      <c r="F7" s="10">
        <f>IF(DAY(MrzSo1)=1,MrzSo1+18,MrzSo1+25)</f>
        <v>42453</v>
      </c>
      <c r="G7" s="10">
        <f>IF(DAY(MrzSo1)=1,MrzSo1+19,MrzSo1+26)</f>
        <v>42454</v>
      </c>
      <c r="H7" s="10">
        <f>IF(DAY(MrzSo1)=1,MrzSo1+20,MrzSo1+27)</f>
        <v>42455</v>
      </c>
      <c r="I7" s="10">
        <f>IF(DAY(MrzSo1)=1,MrzSo1+21,MrzSo1+28)</f>
        <v>42456</v>
      </c>
      <c r="J7" s="5"/>
      <c r="K7" s="11"/>
      <c r="L7" s="17"/>
      <c r="M7" s="33"/>
      <c r="N7" s="34"/>
    </row>
    <row r="8" spans="1:14" ht="18.75" customHeight="1" x14ac:dyDescent="0.25">
      <c r="A8" s="4"/>
      <c r="B8" s="27"/>
      <c r="C8" s="10">
        <f>IF(DAY(MrzSo1)=1,MrzSo1+22,MrzSo1+29)</f>
        <v>42457</v>
      </c>
      <c r="D8" s="10">
        <f>IF(DAY(MrzSo1)=1,MrzSo1+23,MrzSo1+30)</f>
        <v>42458</v>
      </c>
      <c r="E8" s="10">
        <f>IF(DAY(MrzSo1)=1,MrzSo1+24,MrzSo1+31)</f>
        <v>42459</v>
      </c>
      <c r="F8" s="10">
        <f>IF(DAY(MrzSo1)=1,MrzSo1+25,MrzSo1+32)</f>
        <v>42460</v>
      </c>
      <c r="G8" s="10">
        <f>IF(DAY(MrzSo1)=1,MrzSo1+26,MrzSo1+33)</f>
        <v>42461</v>
      </c>
      <c r="H8" s="10">
        <f>IF(DAY(MrzSo1)=1,MrzSo1+27,MrzSo1+34)</f>
        <v>42462</v>
      </c>
      <c r="I8" s="10">
        <f>IF(DAY(MrzSo1)=1,MrzSo1+28,MrzSo1+35)</f>
        <v>42463</v>
      </c>
      <c r="J8" s="5"/>
      <c r="K8" s="11"/>
      <c r="L8" s="17"/>
      <c r="M8" s="33"/>
      <c r="N8" s="34"/>
    </row>
    <row r="9" spans="1:14" ht="18" customHeight="1" x14ac:dyDescent="0.25">
      <c r="A9" s="4"/>
      <c r="B9" s="27"/>
      <c r="C9" s="10">
        <f>IF(DAY(MrzSo1)=1,MrzSo1+29,MrzSo1+36)</f>
        <v>42464</v>
      </c>
      <c r="D9" s="10">
        <f>IF(DAY(MrzSo1)=1,MrzSo1+30,MrzSo1+37)</f>
        <v>42465</v>
      </c>
      <c r="E9" s="10">
        <f>IF(DAY(MrzSo1)=1,MrzSo1+31,MrzSo1+38)</f>
        <v>42466</v>
      </c>
      <c r="F9" s="10">
        <f>IF(DAY(MrzSo1)=1,MrzSo1+32,MrzSo1+39)</f>
        <v>42467</v>
      </c>
      <c r="G9" s="10">
        <f>IF(DAY(MrzSo1)=1,MrzSo1+33,MrzSo1+40)</f>
        <v>42468</v>
      </c>
      <c r="H9" s="10">
        <f>IF(DAY(MrzSo1)=1,MrzSo1+34,MrzSo1+41)</f>
        <v>42469</v>
      </c>
      <c r="I9" s="10">
        <f>IF(DAY(MrzSo1)=1,MrzSo1+35,MrzSo1+42)</f>
        <v>42470</v>
      </c>
      <c r="J9" s="5"/>
      <c r="K9" s="12"/>
      <c r="L9" s="18"/>
      <c r="M9" s="35"/>
      <c r="N9" s="36"/>
    </row>
    <row r="10" spans="1:14" ht="18" customHeight="1" x14ac:dyDescent="0.25">
      <c r="A10" s="4"/>
      <c r="B10" s="28"/>
      <c r="C10" s="23"/>
      <c r="D10" s="23"/>
      <c r="E10" s="23"/>
      <c r="F10" s="23"/>
      <c r="G10" s="23"/>
      <c r="H10" s="23"/>
      <c r="I10" s="23"/>
      <c r="J10" s="24"/>
      <c r="K10" s="31" t="s">
        <v>12</v>
      </c>
      <c r="L10" s="16"/>
      <c r="M10" s="37"/>
      <c r="N10" s="38"/>
    </row>
    <row r="11" spans="1:14" ht="18" customHeight="1" x14ac:dyDescent="0.25">
      <c r="A11" s="4"/>
      <c r="B11" s="70" t="s">
        <v>14</v>
      </c>
      <c r="C11" s="71"/>
      <c r="D11" s="71"/>
      <c r="E11" s="71"/>
      <c r="F11" s="71"/>
      <c r="G11" s="71"/>
      <c r="H11" s="71"/>
      <c r="I11" s="71"/>
      <c r="J11" s="72"/>
      <c r="K11" s="32"/>
      <c r="L11" s="17"/>
      <c r="M11" s="33"/>
      <c r="N11" s="34"/>
    </row>
    <row r="12" spans="1:14" ht="18" customHeight="1" x14ac:dyDescent="0.25">
      <c r="A12" s="4"/>
      <c r="B12" s="70"/>
      <c r="C12" s="71"/>
      <c r="D12" s="71"/>
      <c r="E12" s="71"/>
      <c r="F12" s="71"/>
      <c r="G12" s="71"/>
      <c r="H12" s="71"/>
      <c r="I12" s="71"/>
      <c r="J12" s="72"/>
      <c r="K12" s="32"/>
      <c r="L12" s="17"/>
      <c r="M12" s="33"/>
      <c r="N12" s="34"/>
    </row>
    <row r="13" spans="1:14" ht="18" customHeight="1" x14ac:dyDescent="0.25">
      <c r="B13" s="3" t="s">
        <v>10</v>
      </c>
      <c r="C13" s="39" t="s">
        <v>12</v>
      </c>
      <c r="D13" s="41"/>
      <c r="E13" s="39" t="s">
        <v>15</v>
      </c>
      <c r="F13" s="41"/>
      <c r="G13" s="39" t="s">
        <v>16</v>
      </c>
      <c r="H13" s="41"/>
      <c r="I13" s="39" t="s">
        <v>17</v>
      </c>
      <c r="J13" s="40"/>
      <c r="K13" s="11"/>
      <c r="L13" s="17"/>
      <c r="M13" s="33"/>
      <c r="N13" s="34"/>
    </row>
    <row r="14" spans="1:14" ht="18" customHeight="1" x14ac:dyDescent="0.25">
      <c r="B14" s="8" t="s">
        <v>18</v>
      </c>
      <c r="C14" s="53"/>
      <c r="D14" s="54"/>
      <c r="E14" s="53" t="s">
        <v>18</v>
      </c>
      <c r="F14" s="54"/>
      <c r="G14" s="53"/>
      <c r="H14" s="54"/>
      <c r="I14" s="53" t="s">
        <v>18</v>
      </c>
      <c r="J14" s="62"/>
      <c r="K14" s="11"/>
      <c r="L14" s="17"/>
      <c r="M14" s="33"/>
      <c r="N14" s="34"/>
    </row>
    <row r="15" spans="1:14" ht="18" customHeight="1" x14ac:dyDescent="0.25">
      <c r="B15" s="6" t="s">
        <v>19</v>
      </c>
      <c r="C15" s="51"/>
      <c r="D15" s="52"/>
      <c r="E15" s="51" t="s">
        <v>19</v>
      </c>
      <c r="F15" s="52"/>
      <c r="G15" s="51"/>
      <c r="H15" s="52"/>
      <c r="I15" s="59" t="s">
        <v>19</v>
      </c>
      <c r="J15" s="60"/>
      <c r="K15" s="13"/>
      <c r="L15" s="19"/>
      <c r="M15" s="35"/>
      <c r="N15" s="36"/>
    </row>
    <row r="16" spans="1:14" ht="18" customHeight="1" x14ac:dyDescent="0.25">
      <c r="B16" s="8"/>
      <c r="C16" s="53" t="s">
        <v>20</v>
      </c>
      <c r="D16" s="54"/>
      <c r="E16" s="53"/>
      <c r="F16" s="54"/>
      <c r="G16" s="53" t="s">
        <v>20</v>
      </c>
      <c r="H16" s="54"/>
      <c r="I16" s="63"/>
      <c r="J16" s="64"/>
      <c r="K16" s="31" t="s">
        <v>15</v>
      </c>
      <c r="L16" s="16"/>
      <c r="M16" s="37"/>
      <c r="N16" s="38"/>
    </row>
    <row r="17" spans="2:14" ht="18" customHeight="1" x14ac:dyDescent="0.25">
      <c r="B17" s="6"/>
      <c r="C17" s="51" t="s">
        <v>21</v>
      </c>
      <c r="D17" s="52"/>
      <c r="E17" s="51"/>
      <c r="F17" s="52"/>
      <c r="G17" s="51" t="s">
        <v>21</v>
      </c>
      <c r="H17" s="52"/>
      <c r="I17" s="59"/>
      <c r="J17" s="60"/>
      <c r="K17" s="32"/>
      <c r="L17" s="17"/>
      <c r="M17" s="33"/>
      <c r="N17" s="34"/>
    </row>
    <row r="18" spans="2:14" ht="18" customHeight="1" x14ac:dyDescent="0.25">
      <c r="B18" s="9" t="s">
        <v>22</v>
      </c>
      <c r="C18" s="55"/>
      <c r="D18" s="56"/>
      <c r="E18" s="55" t="s">
        <v>22</v>
      </c>
      <c r="F18" s="56"/>
      <c r="G18" s="55"/>
      <c r="H18" s="56"/>
      <c r="I18" s="55" t="s">
        <v>22</v>
      </c>
      <c r="J18" s="61"/>
      <c r="K18" s="32"/>
      <c r="L18" s="17"/>
      <c r="M18" s="33"/>
      <c r="N18" s="34"/>
    </row>
    <row r="19" spans="2:14" ht="18" customHeight="1" x14ac:dyDescent="0.25">
      <c r="B19" s="6" t="s">
        <v>23</v>
      </c>
      <c r="C19" s="51"/>
      <c r="D19" s="52"/>
      <c r="E19" s="51" t="s">
        <v>23</v>
      </c>
      <c r="F19" s="52"/>
      <c r="G19" s="51"/>
      <c r="H19" s="52"/>
      <c r="I19" s="59" t="s">
        <v>23</v>
      </c>
      <c r="J19" s="60"/>
      <c r="K19" s="11"/>
      <c r="L19" s="17"/>
      <c r="M19" s="33"/>
      <c r="N19" s="34"/>
    </row>
    <row r="20" spans="2:14" ht="18" customHeight="1" x14ac:dyDescent="0.25">
      <c r="B20" s="8"/>
      <c r="C20" s="53"/>
      <c r="D20" s="54"/>
      <c r="E20" s="53"/>
      <c r="F20" s="54"/>
      <c r="G20" s="53"/>
      <c r="H20" s="54"/>
      <c r="I20" s="53"/>
      <c r="J20" s="62"/>
      <c r="K20" s="11"/>
      <c r="L20" s="17"/>
      <c r="M20" s="33"/>
      <c r="N20" s="34"/>
    </row>
    <row r="21" spans="2:14" ht="18" customHeight="1" x14ac:dyDescent="0.25">
      <c r="B21" s="6"/>
      <c r="C21" s="51"/>
      <c r="D21" s="52"/>
      <c r="E21" s="51"/>
      <c r="F21" s="52"/>
      <c r="G21" s="51"/>
      <c r="H21" s="52"/>
      <c r="I21" s="65"/>
      <c r="J21" s="66"/>
      <c r="K21" s="13"/>
      <c r="L21" s="19"/>
      <c r="M21" s="35"/>
      <c r="N21" s="36"/>
    </row>
    <row r="22" spans="2:14" ht="18" customHeight="1" x14ac:dyDescent="0.25">
      <c r="B22" s="8"/>
      <c r="C22" s="53"/>
      <c r="D22" s="54"/>
      <c r="E22" s="53"/>
      <c r="F22" s="54"/>
      <c r="G22" s="53"/>
      <c r="H22" s="54"/>
      <c r="I22" s="53"/>
      <c r="J22" s="62"/>
      <c r="K22" s="31" t="s">
        <v>16</v>
      </c>
      <c r="L22" s="16"/>
      <c r="M22" s="37"/>
      <c r="N22" s="38"/>
    </row>
    <row r="23" spans="2:14" ht="18" customHeight="1" x14ac:dyDescent="0.25">
      <c r="B23" s="6"/>
      <c r="C23" s="51"/>
      <c r="D23" s="52"/>
      <c r="E23" s="51"/>
      <c r="F23" s="52"/>
      <c r="G23" s="51"/>
      <c r="H23" s="52"/>
      <c r="I23" s="59"/>
      <c r="J23" s="60"/>
      <c r="K23" s="32"/>
      <c r="L23" s="17"/>
      <c r="M23" s="33"/>
      <c r="N23" s="34"/>
    </row>
    <row r="24" spans="2:14" ht="18" customHeight="1" x14ac:dyDescent="0.25">
      <c r="B24" s="8"/>
      <c r="C24" s="53"/>
      <c r="D24" s="54"/>
      <c r="E24" s="53"/>
      <c r="F24" s="54"/>
      <c r="G24" s="53"/>
      <c r="H24" s="54"/>
      <c r="I24" s="53"/>
      <c r="J24" s="62"/>
      <c r="K24" s="32"/>
      <c r="L24" s="17"/>
      <c r="M24" s="33"/>
      <c r="N24" s="34"/>
    </row>
    <row r="25" spans="2:14" ht="18" customHeight="1" x14ac:dyDescent="0.25">
      <c r="B25" s="6"/>
      <c r="C25" s="51"/>
      <c r="D25" s="52"/>
      <c r="E25" s="51"/>
      <c r="F25" s="52"/>
      <c r="G25" s="51"/>
      <c r="H25" s="52"/>
      <c r="I25" s="59"/>
      <c r="J25" s="60"/>
      <c r="K25" s="32"/>
      <c r="L25" s="17"/>
      <c r="M25" s="33"/>
      <c r="N25" s="34"/>
    </row>
    <row r="26" spans="2:14" ht="18" customHeight="1" x14ac:dyDescent="0.25">
      <c r="B26" s="8" t="s">
        <v>24</v>
      </c>
      <c r="C26" s="53"/>
      <c r="D26" s="54"/>
      <c r="E26" s="53" t="s">
        <v>24</v>
      </c>
      <c r="F26" s="54"/>
      <c r="G26" s="53"/>
      <c r="H26" s="54"/>
      <c r="I26" s="53" t="s">
        <v>24</v>
      </c>
      <c r="J26" s="62"/>
      <c r="K26" s="11"/>
      <c r="L26" s="17"/>
      <c r="M26" s="33"/>
      <c r="N26" s="34"/>
    </row>
    <row r="27" spans="2:14" ht="18" customHeight="1" x14ac:dyDescent="0.25">
      <c r="B27" s="6" t="s">
        <v>25</v>
      </c>
      <c r="C27" s="51"/>
      <c r="D27" s="52"/>
      <c r="E27" s="51" t="s">
        <v>25</v>
      </c>
      <c r="F27" s="52"/>
      <c r="G27" s="51"/>
      <c r="H27" s="52"/>
      <c r="I27" s="59" t="s">
        <v>25</v>
      </c>
      <c r="J27" s="60"/>
      <c r="K27" s="13"/>
      <c r="L27" s="19"/>
      <c r="M27" s="35"/>
      <c r="N27" s="36"/>
    </row>
    <row r="28" spans="2:14" ht="18" customHeight="1" x14ac:dyDescent="0.25">
      <c r="B28" s="8"/>
      <c r="C28" s="53"/>
      <c r="D28" s="54"/>
      <c r="E28" s="53"/>
      <c r="F28" s="54"/>
      <c r="G28" s="53"/>
      <c r="H28" s="54"/>
      <c r="I28" s="53"/>
      <c r="J28" s="62"/>
      <c r="K28" s="31" t="s">
        <v>17</v>
      </c>
      <c r="L28" s="16"/>
      <c r="M28" s="37"/>
      <c r="N28" s="38"/>
    </row>
    <row r="29" spans="2:14" ht="18" customHeight="1" x14ac:dyDescent="0.25">
      <c r="B29" s="6"/>
      <c r="C29" s="51"/>
      <c r="D29" s="52"/>
      <c r="E29" s="51"/>
      <c r="F29" s="52"/>
      <c r="G29" s="51"/>
      <c r="H29" s="52"/>
      <c r="I29" s="51"/>
      <c r="J29" s="67"/>
      <c r="K29" s="32"/>
      <c r="L29" s="17"/>
      <c r="M29" s="33"/>
      <c r="N29" s="34"/>
    </row>
    <row r="30" spans="2:14" ht="18" customHeight="1" x14ac:dyDescent="0.25">
      <c r="B30" s="8"/>
      <c r="C30" s="53" t="s">
        <v>26</v>
      </c>
      <c r="D30" s="54"/>
      <c r="E30" s="53"/>
      <c r="F30" s="54"/>
      <c r="G30" s="53" t="s">
        <v>26</v>
      </c>
      <c r="H30" s="54"/>
      <c r="I30" s="75"/>
      <c r="J30" s="76"/>
      <c r="K30" s="32"/>
      <c r="L30" s="17"/>
      <c r="M30" s="33"/>
      <c r="N30" s="34"/>
    </row>
    <row r="31" spans="2:14" ht="18" customHeight="1" x14ac:dyDescent="0.25">
      <c r="B31" s="6"/>
      <c r="C31" s="51" t="s">
        <v>27</v>
      </c>
      <c r="D31" s="52"/>
      <c r="E31" s="51"/>
      <c r="F31" s="52"/>
      <c r="G31" s="51" t="s">
        <v>27</v>
      </c>
      <c r="H31" s="52"/>
      <c r="I31" s="51"/>
      <c r="J31" s="67"/>
      <c r="K31" s="14"/>
      <c r="L31" s="17"/>
      <c r="M31" s="33"/>
      <c r="N31" s="34"/>
    </row>
    <row r="32" spans="2:14" ht="18" customHeight="1" x14ac:dyDescent="0.25">
      <c r="B32" s="8"/>
      <c r="C32" s="53"/>
      <c r="D32" s="54"/>
      <c r="E32" s="53"/>
      <c r="F32" s="54"/>
      <c r="G32" s="53"/>
      <c r="H32" s="54"/>
      <c r="I32" s="63"/>
      <c r="J32" s="64"/>
      <c r="K32" s="14"/>
      <c r="L32" s="17"/>
      <c r="M32" s="33"/>
      <c r="N32" s="34"/>
    </row>
    <row r="33" spans="2:14" ht="18" customHeight="1" x14ac:dyDescent="0.25">
      <c r="B33" s="7"/>
      <c r="C33" s="57"/>
      <c r="D33" s="58"/>
      <c r="E33" s="57"/>
      <c r="F33" s="58"/>
      <c r="G33" s="57"/>
      <c r="H33" s="58"/>
      <c r="I33" s="77"/>
      <c r="J33" s="78"/>
      <c r="K33" s="15"/>
      <c r="L33" s="20"/>
      <c r="M33" s="73"/>
      <c r="N33" s="74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conditionalFormatting sqref="C4:H4">
    <cfRule type="expression" dxfId="39" priority="3" stopIfTrue="1">
      <formula>DAY(C4)&gt;8</formula>
    </cfRule>
  </conditionalFormatting>
  <conditionalFormatting sqref="C8:I10">
    <cfRule type="expression" dxfId="38" priority="2" stopIfTrue="1">
      <formula>AND(DAY(C8)&gt;=1,DAY(C8)&lt;=15)</formula>
    </cfRule>
  </conditionalFormatting>
  <conditionalFormatting sqref="C4:I9">
    <cfRule type="expression" dxfId="37" priority="4">
      <formula>VLOOKUP(DAY(C4),HausaufgabenTage,1,FALSE)=DAY(C4)</formula>
    </cfRule>
  </conditionalFormatting>
  <conditionalFormatting sqref="B14:J33">
    <cfRule type="expression" dxfId="36" priority="1">
      <formula>B14&lt;&gt;""</formula>
    </cfRule>
  </conditionalFormatting>
  <printOptions horizontalCentered="1" verticalCentered="1"/>
  <pageMargins left="0.5" right="0.5" top="0.5" bottom="0.5" header="0.3" footer="0.3"/>
  <pageSetup paperSize="9"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4"/>
    <pageSetUpPr fitToPage="1"/>
  </sheetPr>
  <dimension ref="A1:O33"/>
  <sheetViews>
    <sheetView showGridLines="0" zoomScaleNormal="100" zoomScalePageLayoutView="84" workbookViewId="0"/>
  </sheetViews>
  <sheetFormatPr defaultColWidth="8.6640625" defaultRowHeight="16.5" customHeight="1" x14ac:dyDescent="0.25"/>
  <cols>
    <col min="1" max="1" width="2.33203125" style="1" customWidth="1"/>
    <col min="2" max="2" width="12.6640625" style="1" customWidth="1"/>
    <col min="3" max="4" width="7.33203125" style="1" customWidth="1"/>
    <col min="5" max="6" width="6.6640625" style="1" customWidth="1"/>
    <col min="7" max="8" width="7.33203125" style="1" customWidth="1"/>
    <col min="9" max="10" width="6.6640625" style="1" customWidth="1"/>
    <col min="11" max="11" width="7.33203125" style="1" customWidth="1"/>
    <col min="12" max="12" width="3.88671875" customWidth="1"/>
    <col min="13" max="13" width="51.44140625" style="1" customWidth="1"/>
    <col min="14" max="14" width="10.6640625" style="1" customWidth="1"/>
    <col min="15" max="15" width="2.33203125" customWidth="1"/>
    <col min="16" max="16" width="40.6640625" style="1" customWidth="1"/>
    <col min="17" max="16384" width="8.6640625" style="1"/>
  </cols>
  <sheetData>
    <row r="1" spans="1:14" ht="11.25" customHeight="1" x14ac:dyDescent="0.25"/>
    <row r="2" spans="1:14" ht="18" customHeight="1" x14ac:dyDescent="0.25">
      <c r="A2" s="4"/>
      <c r="B2" s="29"/>
      <c r="C2" s="21"/>
      <c r="D2" s="21"/>
      <c r="E2" s="21"/>
      <c r="F2" s="21"/>
      <c r="G2" s="21"/>
      <c r="H2" s="21"/>
      <c r="I2" s="21"/>
      <c r="J2" s="22"/>
      <c r="K2" s="42" t="s">
        <v>0</v>
      </c>
      <c r="L2" s="43">
        <v>2013</v>
      </c>
      <c r="M2" s="43"/>
      <c r="N2" s="79">
        <f>KalenderJahr</f>
        <v>2016</v>
      </c>
    </row>
    <row r="3" spans="1:14" ht="21" customHeight="1" x14ac:dyDescent="0.25">
      <c r="A3" s="4"/>
      <c r="B3" s="68" t="s">
        <v>30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5"/>
      <c r="K3" s="44"/>
      <c r="L3" s="45"/>
      <c r="M3" s="45"/>
      <c r="N3" s="80"/>
    </row>
    <row r="4" spans="1:14" ht="18" customHeight="1" x14ac:dyDescent="0.25">
      <c r="A4" s="4"/>
      <c r="B4" s="68"/>
      <c r="C4" s="10">
        <f>IF(DAY(AprSo1)=1,AprSo1-6,AprSo1+1)</f>
        <v>42457</v>
      </c>
      <c r="D4" s="10">
        <f>IF(DAY(AprSo1)=1,AprSo1-5,AprSo1+2)</f>
        <v>42458</v>
      </c>
      <c r="E4" s="10">
        <f>IF(DAY(AprSo1)=1,AprSo1-4,AprSo1+3)</f>
        <v>42459</v>
      </c>
      <c r="F4" s="10">
        <f>IF(DAY(AprSo1)=1,AprSo1-3,AprSo1+4)</f>
        <v>42460</v>
      </c>
      <c r="G4" s="10">
        <f>IF(DAY(AprSo1)=1,AprSo1-2,AprSo1+5)</f>
        <v>42461</v>
      </c>
      <c r="H4" s="10">
        <f>IF(DAY(AprSo1)=1,AprSo1-1,AprSo1+6)</f>
        <v>42462</v>
      </c>
      <c r="I4" s="10">
        <f>IF(DAY(AprSo1)=1,AprSo1,AprSo1+7)</f>
        <v>42463</v>
      </c>
      <c r="J4" s="5"/>
      <c r="K4" s="46" t="s">
        <v>10</v>
      </c>
      <c r="L4" s="16"/>
      <c r="M4" s="47"/>
      <c r="N4" s="48"/>
    </row>
    <row r="5" spans="1:14" ht="18" customHeight="1" x14ac:dyDescent="0.25">
      <c r="A5" s="4"/>
      <c r="B5" s="27"/>
      <c r="C5" s="10">
        <f>IF(DAY(AprSo1)=1,AprSo1+1,AprSo1+8)</f>
        <v>42464</v>
      </c>
      <c r="D5" s="10">
        <f>IF(DAY(AprSo1)=1,AprSo1+2,AprSo1+9)</f>
        <v>42465</v>
      </c>
      <c r="E5" s="10">
        <f>IF(DAY(AprSo1)=1,AprSo1+3,AprSo1+10)</f>
        <v>42466</v>
      </c>
      <c r="F5" s="10">
        <f>IF(DAY(AprSo1)=1,AprSo1+4,AprSo1+11)</f>
        <v>42467</v>
      </c>
      <c r="G5" s="10">
        <f>IF(DAY(AprSo1)=1,AprSo1+5,AprSo1+12)</f>
        <v>42468</v>
      </c>
      <c r="H5" s="10">
        <f>IF(DAY(AprSo1)=1,AprSo1+6,AprSo1+13)</f>
        <v>42469</v>
      </c>
      <c r="I5" s="10">
        <f>IF(DAY(AprSo1)=1,AprSo1+7,AprSo1+14)</f>
        <v>42470</v>
      </c>
      <c r="J5" s="5"/>
      <c r="K5" s="32"/>
      <c r="L5" s="17"/>
      <c r="M5" s="33"/>
      <c r="N5" s="34"/>
    </row>
    <row r="6" spans="1:14" ht="18" customHeight="1" x14ac:dyDescent="0.25">
      <c r="A6" s="4"/>
      <c r="B6" s="27"/>
      <c r="C6" s="10">
        <f>IF(DAY(AprSo1)=1,AprSo1+8,AprSo1+15)</f>
        <v>42471</v>
      </c>
      <c r="D6" s="10">
        <f>IF(DAY(AprSo1)=1,AprSo1+9,AprSo1+16)</f>
        <v>42472</v>
      </c>
      <c r="E6" s="10">
        <f>IF(DAY(AprSo1)=1,AprSo1+10,AprSo1+17)</f>
        <v>42473</v>
      </c>
      <c r="F6" s="10">
        <f>IF(DAY(AprSo1)=1,AprSo1+11,AprSo1+18)</f>
        <v>42474</v>
      </c>
      <c r="G6" s="10">
        <f>IF(DAY(AprSo1)=1,AprSo1+12,AprSo1+19)</f>
        <v>42475</v>
      </c>
      <c r="H6" s="10">
        <f>IF(DAY(AprSo1)=1,AprSo1+13,AprSo1+20)</f>
        <v>42476</v>
      </c>
      <c r="I6" s="10">
        <f>IF(DAY(AprSo1)=1,AprSo1+14,AprSo1+21)</f>
        <v>42477</v>
      </c>
      <c r="J6" s="5"/>
      <c r="K6" s="32"/>
      <c r="L6" s="17"/>
      <c r="M6" s="33"/>
      <c r="N6" s="34"/>
    </row>
    <row r="7" spans="1:14" ht="18" customHeight="1" x14ac:dyDescent="0.25">
      <c r="A7" s="4"/>
      <c r="B7" s="27"/>
      <c r="C7" s="10">
        <f>IF(DAY(AprSo1)=1,AprSo1+15,AprSo1+22)</f>
        <v>42478</v>
      </c>
      <c r="D7" s="10">
        <f>IF(DAY(AprSo1)=1,AprSo1+16,AprSo1+23)</f>
        <v>42479</v>
      </c>
      <c r="E7" s="10">
        <f>IF(DAY(AprSo1)=1,AprSo1+17,AprSo1+24)</f>
        <v>42480</v>
      </c>
      <c r="F7" s="10">
        <f>IF(DAY(AprSo1)=1,AprSo1+18,AprSo1+25)</f>
        <v>42481</v>
      </c>
      <c r="G7" s="10">
        <f>IF(DAY(AprSo1)=1,AprSo1+19,AprSo1+26)</f>
        <v>42482</v>
      </c>
      <c r="H7" s="10">
        <f>IF(DAY(AprSo1)=1,AprSo1+20,AprSo1+27)</f>
        <v>42483</v>
      </c>
      <c r="I7" s="10">
        <f>IF(DAY(AprSo1)=1,AprSo1+21,AprSo1+28)</f>
        <v>42484</v>
      </c>
      <c r="J7" s="5"/>
      <c r="K7" s="11"/>
      <c r="L7" s="17"/>
      <c r="M7" s="33"/>
      <c r="N7" s="34"/>
    </row>
    <row r="8" spans="1:14" ht="18.75" customHeight="1" x14ac:dyDescent="0.25">
      <c r="A8" s="4"/>
      <c r="B8" s="27"/>
      <c r="C8" s="10">
        <f>IF(DAY(AprSo1)=1,AprSo1+22,AprSo1+29)</f>
        <v>42485</v>
      </c>
      <c r="D8" s="10">
        <f>IF(DAY(AprSo1)=1,AprSo1+23,AprSo1+30)</f>
        <v>42486</v>
      </c>
      <c r="E8" s="10">
        <f>IF(DAY(AprSo1)=1,AprSo1+24,AprSo1+31)</f>
        <v>42487</v>
      </c>
      <c r="F8" s="10">
        <f>IF(DAY(AprSo1)=1,AprSo1+25,AprSo1+32)</f>
        <v>42488</v>
      </c>
      <c r="G8" s="10">
        <f>IF(DAY(AprSo1)=1,AprSo1+26,AprSo1+33)</f>
        <v>42489</v>
      </c>
      <c r="H8" s="10">
        <f>IF(DAY(AprSo1)=1,AprSo1+27,AprSo1+34)</f>
        <v>42490</v>
      </c>
      <c r="I8" s="10">
        <f>IF(DAY(AprSo1)=1,AprSo1+28,AprSo1+35)</f>
        <v>42491</v>
      </c>
      <c r="J8" s="5"/>
      <c r="K8" s="11"/>
      <c r="L8" s="17"/>
      <c r="M8" s="33"/>
      <c r="N8" s="34"/>
    </row>
    <row r="9" spans="1:14" ht="18" customHeight="1" x14ac:dyDescent="0.25">
      <c r="A9" s="4"/>
      <c r="B9" s="27"/>
      <c r="C9" s="10">
        <f>IF(DAY(AprSo1)=1,AprSo1+29,AprSo1+36)</f>
        <v>42492</v>
      </c>
      <c r="D9" s="10">
        <f>IF(DAY(AprSo1)=1,AprSo1+30,AprSo1+37)</f>
        <v>42493</v>
      </c>
      <c r="E9" s="10">
        <f>IF(DAY(AprSo1)=1,AprSo1+31,AprSo1+38)</f>
        <v>42494</v>
      </c>
      <c r="F9" s="10">
        <f>IF(DAY(AprSo1)=1,AprSo1+32,AprSo1+39)</f>
        <v>42495</v>
      </c>
      <c r="G9" s="10">
        <f>IF(DAY(AprSo1)=1,AprSo1+33,AprSo1+40)</f>
        <v>42496</v>
      </c>
      <c r="H9" s="10">
        <f>IF(DAY(AprSo1)=1,AprSo1+34,AprSo1+41)</f>
        <v>42497</v>
      </c>
      <c r="I9" s="10">
        <f>IF(DAY(AprSo1)=1,AprSo1+35,AprSo1+42)</f>
        <v>42498</v>
      </c>
      <c r="J9" s="5"/>
      <c r="K9" s="12"/>
      <c r="L9" s="18"/>
      <c r="M9" s="35"/>
      <c r="N9" s="36"/>
    </row>
    <row r="10" spans="1:14" ht="18" customHeight="1" x14ac:dyDescent="0.25">
      <c r="A10" s="4"/>
      <c r="B10" s="28"/>
      <c r="C10" s="23"/>
      <c r="D10" s="23"/>
      <c r="E10" s="23"/>
      <c r="F10" s="23"/>
      <c r="G10" s="23"/>
      <c r="H10" s="23"/>
      <c r="I10" s="23"/>
      <c r="J10" s="24"/>
      <c r="K10" s="31" t="s">
        <v>12</v>
      </c>
      <c r="L10" s="16"/>
      <c r="M10" s="37"/>
      <c r="N10" s="38"/>
    </row>
    <row r="11" spans="1:14" ht="18" customHeight="1" x14ac:dyDescent="0.25">
      <c r="A11" s="4"/>
      <c r="B11" s="70" t="s">
        <v>14</v>
      </c>
      <c r="C11" s="71"/>
      <c r="D11" s="71"/>
      <c r="E11" s="71"/>
      <c r="F11" s="71"/>
      <c r="G11" s="71"/>
      <c r="H11" s="71"/>
      <c r="I11" s="71"/>
      <c r="J11" s="72"/>
      <c r="K11" s="32"/>
      <c r="L11" s="17"/>
      <c r="M11" s="33"/>
      <c r="N11" s="34"/>
    </row>
    <row r="12" spans="1:14" ht="18" customHeight="1" x14ac:dyDescent="0.25">
      <c r="A12" s="4"/>
      <c r="B12" s="70"/>
      <c r="C12" s="71"/>
      <c r="D12" s="71"/>
      <c r="E12" s="71"/>
      <c r="F12" s="71"/>
      <c r="G12" s="71"/>
      <c r="H12" s="71"/>
      <c r="I12" s="71"/>
      <c r="J12" s="72"/>
      <c r="K12" s="32"/>
      <c r="L12" s="17"/>
      <c r="M12" s="33"/>
      <c r="N12" s="34"/>
    </row>
    <row r="13" spans="1:14" ht="18" customHeight="1" x14ac:dyDescent="0.25">
      <c r="B13" s="3" t="s">
        <v>10</v>
      </c>
      <c r="C13" s="39" t="s">
        <v>12</v>
      </c>
      <c r="D13" s="41"/>
      <c r="E13" s="39" t="s">
        <v>15</v>
      </c>
      <c r="F13" s="41"/>
      <c r="G13" s="39" t="s">
        <v>16</v>
      </c>
      <c r="H13" s="41"/>
      <c r="I13" s="39" t="s">
        <v>17</v>
      </c>
      <c r="J13" s="40"/>
      <c r="K13" s="11"/>
      <c r="L13" s="17"/>
      <c r="M13" s="33"/>
      <c r="N13" s="34"/>
    </row>
    <row r="14" spans="1:14" ht="18" customHeight="1" x14ac:dyDescent="0.25">
      <c r="B14" s="8" t="s">
        <v>18</v>
      </c>
      <c r="C14" s="53"/>
      <c r="D14" s="54"/>
      <c r="E14" s="53" t="s">
        <v>18</v>
      </c>
      <c r="F14" s="54"/>
      <c r="G14" s="53"/>
      <c r="H14" s="54"/>
      <c r="I14" s="53" t="s">
        <v>18</v>
      </c>
      <c r="J14" s="62"/>
      <c r="K14" s="11"/>
      <c r="L14" s="17"/>
      <c r="M14" s="33"/>
      <c r="N14" s="34"/>
    </row>
    <row r="15" spans="1:14" ht="18" customHeight="1" x14ac:dyDescent="0.25">
      <c r="B15" s="6" t="s">
        <v>19</v>
      </c>
      <c r="C15" s="51"/>
      <c r="D15" s="52"/>
      <c r="E15" s="51" t="s">
        <v>19</v>
      </c>
      <c r="F15" s="52"/>
      <c r="G15" s="51"/>
      <c r="H15" s="52"/>
      <c r="I15" s="59" t="s">
        <v>19</v>
      </c>
      <c r="J15" s="60"/>
      <c r="K15" s="13"/>
      <c r="L15" s="19"/>
      <c r="M15" s="35"/>
      <c r="N15" s="36"/>
    </row>
    <row r="16" spans="1:14" ht="18" customHeight="1" x14ac:dyDescent="0.25">
      <c r="B16" s="8"/>
      <c r="C16" s="53" t="s">
        <v>20</v>
      </c>
      <c r="D16" s="54"/>
      <c r="E16" s="53"/>
      <c r="F16" s="54"/>
      <c r="G16" s="53" t="s">
        <v>20</v>
      </c>
      <c r="H16" s="54"/>
      <c r="I16" s="63"/>
      <c r="J16" s="64"/>
      <c r="K16" s="31" t="s">
        <v>15</v>
      </c>
      <c r="L16" s="16"/>
      <c r="M16" s="37"/>
      <c r="N16" s="38"/>
    </row>
    <row r="17" spans="2:14" ht="18" customHeight="1" x14ac:dyDescent="0.25">
      <c r="B17" s="6"/>
      <c r="C17" s="51" t="s">
        <v>21</v>
      </c>
      <c r="D17" s="52"/>
      <c r="E17" s="51"/>
      <c r="F17" s="52"/>
      <c r="G17" s="51" t="s">
        <v>21</v>
      </c>
      <c r="H17" s="52"/>
      <c r="I17" s="59"/>
      <c r="J17" s="60"/>
      <c r="K17" s="32"/>
      <c r="L17" s="17"/>
      <c r="M17" s="33"/>
      <c r="N17" s="34"/>
    </row>
    <row r="18" spans="2:14" ht="18" customHeight="1" x14ac:dyDescent="0.25">
      <c r="B18" s="9" t="s">
        <v>22</v>
      </c>
      <c r="C18" s="55"/>
      <c r="D18" s="56"/>
      <c r="E18" s="55" t="s">
        <v>22</v>
      </c>
      <c r="F18" s="56"/>
      <c r="G18" s="55"/>
      <c r="H18" s="56"/>
      <c r="I18" s="55" t="s">
        <v>22</v>
      </c>
      <c r="J18" s="61"/>
      <c r="K18" s="32"/>
      <c r="L18" s="17"/>
      <c r="M18" s="33"/>
      <c r="N18" s="34"/>
    </row>
    <row r="19" spans="2:14" ht="18" customHeight="1" x14ac:dyDescent="0.25">
      <c r="B19" s="6" t="s">
        <v>23</v>
      </c>
      <c r="C19" s="51"/>
      <c r="D19" s="52"/>
      <c r="E19" s="51" t="s">
        <v>23</v>
      </c>
      <c r="F19" s="52"/>
      <c r="G19" s="51"/>
      <c r="H19" s="52"/>
      <c r="I19" s="59" t="s">
        <v>23</v>
      </c>
      <c r="J19" s="60"/>
      <c r="K19" s="11"/>
      <c r="L19" s="17"/>
      <c r="M19" s="33"/>
      <c r="N19" s="34"/>
    </row>
    <row r="20" spans="2:14" ht="18" customHeight="1" x14ac:dyDescent="0.25">
      <c r="B20" s="8"/>
      <c r="C20" s="53"/>
      <c r="D20" s="54"/>
      <c r="E20" s="53"/>
      <c r="F20" s="54"/>
      <c r="G20" s="53"/>
      <c r="H20" s="54"/>
      <c r="I20" s="53"/>
      <c r="J20" s="62"/>
      <c r="K20" s="11"/>
      <c r="L20" s="17"/>
      <c r="M20" s="33"/>
      <c r="N20" s="34"/>
    </row>
    <row r="21" spans="2:14" ht="18" customHeight="1" x14ac:dyDescent="0.25">
      <c r="B21" s="6"/>
      <c r="C21" s="51"/>
      <c r="D21" s="52"/>
      <c r="E21" s="51"/>
      <c r="F21" s="52"/>
      <c r="G21" s="51"/>
      <c r="H21" s="52"/>
      <c r="I21" s="65"/>
      <c r="J21" s="66"/>
      <c r="K21" s="13"/>
      <c r="L21" s="19"/>
      <c r="M21" s="35"/>
      <c r="N21" s="36"/>
    </row>
    <row r="22" spans="2:14" ht="18" customHeight="1" x14ac:dyDescent="0.25">
      <c r="B22" s="8"/>
      <c r="C22" s="53"/>
      <c r="D22" s="54"/>
      <c r="E22" s="53"/>
      <c r="F22" s="54"/>
      <c r="G22" s="53"/>
      <c r="H22" s="54"/>
      <c r="I22" s="53"/>
      <c r="J22" s="62"/>
      <c r="K22" s="31" t="s">
        <v>16</v>
      </c>
      <c r="L22" s="16"/>
      <c r="M22" s="37"/>
      <c r="N22" s="38"/>
    </row>
    <row r="23" spans="2:14" ht="18" customHeight="1" x14ac:dyDescent="0.25">
      <c r="B23" s="6"/>
      <c r="C23" s="51"/>
      <c r="D23" s="52"/>
      <c r="E23" s="51"/>
      <c r="F23" s="52"/>
      <c r="G23" s="51"/>
      <c r="H23" s="52"/>
      <c r="I23" s="59"/>
      <c r="J23" s="60"/>
      <c r="K23" s="32"/>
      <c r="L23" s="17"/>
      <c r="M23" s="33"/>
      <c r="N23" s="34"/>
    </row>
    <row r="24" spans="2:14" ht="18" customHeight="1" x14ac:dyDescent="0.25">
      <c r="B24" s="8"/>
      <c r="C24" s="53"/>
      <c r="D24" s="54"/>
      <c r="E24" s="53"/>
      <c r="F24" s="54"/>
      <c r="G24" s="53"/>
      <c r="H24" s="54"/>
      <c r="I24" s="53"/>
      <c r="J24" s="62"/>
      <c r="K24" s="32"/>
      <c r="L24" s="17"/>
      <c r="M24" s="33"/>
      <c r="N24" s="34"/>
    </row>
    <row r="25" spans="2:14" ht="18" customHeight="1" x14ac:dyDescent="0.25">
      <c r="B25" s="6"/>
      <c r="C25" s="51"/>
      <c r="D25" s="52"/>
      <c r="E25" s="51"/>
      <c r="F25" s="52"/>
      <c r="G25" s="51"/>
      <c r="H25" s="52"/>
      <c r="I25" s="59"/>
      <c r="J25" s="60"/>
      <c r="K25" s="32"/>
      <c r="L25" s="17"/>
      <c r="M25" s="33"/>
      <c r="N25" s="34"/>
    </row>
    <row r="26" spans="2:14" ht="18" customHeight="1" x14ac:dyDescent="0.25">
      <c r="B26" s="8" t="s">
        <v>24</v>
      </c>
      <c r="C26" s="53"/>
      <c r="D26" s="54"/>
      <c r="E26" s="53" t="s">
        <v>24</v>
      </c>
      <c r="F26" s="54"/>
      <c r="G26" s="53"/>
      <c r="H26" s="54"/>
      <c r="I26" s="53" t="s">
        <v>24</v>
      </c>
      <c r="J26" s="62"/>
      <c r="K26" s="11"/>
      <c r="L26" s="17"/>
      <c r="M26" s="33"/>
      <c r="N26" s="34"/>
    </row>
    <row r="27" spans="2:14" ht="18" customHeight="1" x14ac:dyDescent="0.25">
      <c r="B27" s="6" t="s">
        <v>25</v>
      </c>
      <c r="C27" s="51"/>
      <c r="D27" s="52"/>
      <c r="E27" s="51" t="s">
        <v>25</v>
      </c>
      <c r="F27" s="52"/>
      <c r="G27" s="51"/>
      <c r="H27" s="52"/>
      <c r="I27" s="59" t="s">
        <v>25</v>
      </c>
      <c r="J27" s="60"/>
      <c r="K27" s="13"/>
      <c r="L27" s="19"/>
      <c r="M27" s="35"/>
      <c r="N27" s="36"/>
    </row>
    <row r="28" spans="2:14" ht="18" customHeight="1" x14ac:dyDescent="0.25">
      <c r="B28" s="8"/>
      <c r="C28" s="53"/>
      <c r="D28" s="54"/>
      <c r="E28" s="53"/>
      <c r="F28" s="54"/>
      <c r="G28" s="53"/>
      <c r="H28" s="54"/>
      <c r="I28" s="53"/>
      <c r="J28" s="62"/>
      <c r="K28" s="31" t="s">
        <v>17</v>
      </c>
      <c r="L28" s="16"/>
      <c r="M28" s="37"/>
      <c r="N28" s="38"/>
    </row>
    <row r="29" spans="2:14" ht="18" customHeight="1" x14ac:dyDescent="0.25">
      <c r="B29" s="6"/>
      <c r="C29" s="51"/>
      <c r="D29" s="52"/>
      <c r="E29" s="51"/>
      <c r="F29" s="52"/>
      <c r="G29" s="51"/>
      <c r="H29" s="52"/>
      <c r="I29" s="51"/>
      <c r="J29" s="67"/>
      <c r="K29" s="32"/>
      <c r="L29" s="17"/>
      <c r="M29" s="33"/>
      <c r="N29" s="34"/>
    </row>
    <row r="30" spans="2:14" ht="18" customHeight="1" x14ac:dyDescent="0.25">
      <c r="B30" s="8"/>
      <c r="C30" s="53" t="s">
        <v>26</v>
      </c>
      <c r="D30" s="54"/>
      <c r="E30" s="53"/>
      <c r="F30" s="54"/>
      <c r="G30" s="53" t="s">
        <v>26</v>
      </c>
      <c r="H30" s="54"/>
      <c r="I30" s="75"/>
      <c r="J30" s="76"/>
      <c r="K30" s="32"/>
      <c r="L30" s="17"/>
      <c r="M30" s="33"/>
      <c r="N30" s="34"/>
    </row>
    <row r="31" spans="2:14" ht="18" customHeight="1" x14ac:dyDescent="0.25">
      <c r="B31" s="6"/>
      <c r="C31" s="51" t="s">
        <v>27</v>
      </c>
      <c r="D31" s="52"/>
      <c r="E31" s="51"/>
      <c r="F31" s="52"/>
      <c r="G31" s="51" t="s">
        <v>27</v>
      </c>
      <c r="H31" s="52"/>
      <c r="I31" s="51"/>
      <c r="J31" s="67"/>
      <c r="K31" s="14"/>
      <c r="L31" s="17"/>
      <c r="M31" s="33"/>
      <c r="N31" s="34"/>
    </row>
    <row r="32" spans="2:14" ht="18" customHeight="1" x14ac:dyDescent="0.25">
      <c r="B32" s="8"/>
      <c r="C32" s="53"/>
      <c r="D32" s="54"/>
      <c r="E32" s="53"/>
      <c r="F32" s="54"/>
      <c r="G32" s="53"/>
      <c r="H32" s="54"/>
      <c r="I32" s="63"/>
      <c r="J32" s="64"/>
      <c r="K32" s="14"/>
      <c r="L32" s="17"/>
      <c r="M32" s="33"/>
      <c r="N32" s="34"/>
    </row>
    <row r="33" spans="2:14" ht="18" customHeight="1" x14ac:dyDescent="0.25">
      <c r="B33" s="7"/>
      <c r="C33" s="57"/>
      <c r="D33" s="58"/>
      <c r="E33" s="57"/>
      <c r="F33" s="58"/>
      <c r="G33" s="57"/>
      <c r="H33" s="58"/>
      <c r="I33" s="77"/>
      <c r="J33" s="78"/>
      <c r="K33" s="15"/>
      <c r="L33" s="20"/>
      <c r="M33" s="73"/>
      <c r="N33" s="74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conditionalFormatting sqref="C4:H4">
    <cfRule type="expression" dxfId="35" priority="3" stopIfTrue="1">
      <formula>DAY(C4)&gt;8</formula>
    </cfRule>
  </conditionalFormatting>
  <conditionalFormatting sqref="C8:I10">
    <cfRule type="expression" dxfId="34" priority="2" stopIfTrue="1">
      <formula>AND(DAY(C8)&gt;=1,DAY(C8)&lt;=15)</formula>
    </cfRule>
  </conditionalFormatting>
  <conditionalFormatting sqref="C4:I9">
    <cfRule type="expression" dxfId="33" priority="4">
      <formula>VLOOKUP(DAY(C4),HausaufgabenTage,1,FALSE)=DAY(C4)</formula>
    </cfRule>
  </conditionalFormatting>
  <conditionalFormatting sqref="B14:J33">
    <cfRule type="expression" dxfId="32" priority="1">
      <formula>B14&lt;&gt;""</formula>
    </cfRule>
  </conditionalFormatting>
  <printOptions horizontalCentered="1" verticalCentered="1"/>
  <pageMargins left="0.5" right="0.5" top="0.5" bottom="0.5" header="0.3" footer="0.3"/>
  <pageSetup paperSize="9" scale="9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4"/>
    <pageSetUpPr fitToPage="1"/>
  </sheetPr>
  <dimension ref="A1:O33"/>
  <sheetViews>
    <sheetView showGridLines="0" zoomScaleNormal="100" zoomScalePageLayoutView="84" workbookViewId="0"/>
  </sheetViews>
  <sheetFormatPr defaultColWidth="8.6640625" defaultRowHeight="16.5" customHeight="1" x14ac:dyDescent="0.25"/>
  <cols>
    <col min="1" max="1" width="2.33203125" style="1" customWidth="1"/>
    <col min="2" max="2" width="12.6640625" style="1" customWidth="1"/>
    <col min="3" max="4" width="7.33203125" style="1" customWidth="1"/>
    <col min="5" max="6" width="6.6640625" style="1" customWidth="1"/>
    <col min="7" max="8" width="7.33203125" style="1" customWidth="1"/>
    <col min="9" max="10" width="6.6640625" style="1" customWidth="1"/>
    <col min="11" max="11" width="7.33203125" style="1" customWidth="1"/>
    <col min="12" max="12" width="3.88671875" customWidth="1"/>
    <col min="13" max="13" width="51.44140625" style="1" customWidth="1"/>
    <col min="14" max="14" width="10.6640625" style="1" customWidth="1"/>
    <col min="15" max="15" width="2.33203125" customWidth="1"/>
    <col min="16" max="16" width="40.6640625" style="1" customWidth="1"/>
    <col min="17" max="16384" width="8.6640625" style="1"/>
  </cols>
  <sheetData>
    <row r="1" spans="1:14" ht="11.25" customHeight="1" x14ac:dyDescent="0.25"/>
    <row r="2" spans="1:14" ht="18" customHeight="1" x14ac:dyDescent="0.25">
      <c r="A2" s="4"/>
      <c r="B2" s="29"/>
      <c r="C2" s="21"/>
      <c r="D2" s="21"/>
      <c r="E2" s="21"/>
      <c r="F2" s="21"/>
      <c r="G2" s="21"/>
      <c r="H2" s="21"/>
      <c r="I2" s="21"/>
      <c r="J2" s="22"/>
      <c r="K2" s="42" t="s">
        <v>0</v>
      </c>
      <c r="L2" s="43">
        <v>2013</v>
      </c>
      <c r="M2" s="43"/>
      <c r="N2" s="79">
        <f>KalenderJahr</f>
        <v>2016</v>
      </c>
    </row>
    <row r="3" spans="1:14" ht="21" customHeight="1" x14ac:dyDescent="0.25">
      <c r="A3" s="4"/>
      <c r="B3" s="68" t="s">
        <v>31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5"/>
      <c r="K3" s="44"/>
      <c r="L3" s="45"/>
      <c r="M3" s="45"/>
      <c r="N3" s="80"/>
    </row>
    <row r="4" spans="1:14" ht="18" customHeight="1" x14ac:dyDescent="0.25">
      <c r="A4" s="4"/>
      <c r="B4" s="68"/>
      <c r="C4" s="10">
        <f>IF(DAY(MaiSo1)=1,MaiSo1-6,MaiSo1+1)</f>
        <v>42485</v>
      </c>
      <c r="D4" s="10">
        <f>IF(DAY(MaiSo1)=1,MaiSo1-5,MaiSo1+2)</f>
        <v>42486</v>
      </c>
      <c r="E4" s="10">
        <f>IF(DAY(MaiSo1)=1,MaiSo1-4,MaiSo1+3)</f>
        <v>42487</v>
      </c>
      <c r="F4" s="10">
        <f>IF(DAY(MaiSo1)=1,MaiSo1-3,MaiSo1+4)</f>
        <v>42488</v>
      </c>
      <c r="G4" s="10">
        <f>IF(DAY(MaiSo1)=1,MaiSo1-2,MaiSo1+5)</f>
        <v>42489</v>
      </c>
      <c r="H4" s="10">
        <f>IF(DAY(MaiSo1)=1,MaiSo1-1,MaiSo1+6)</f>
        <v>42490</v>
      </c>
      <c r="I4" s="10">
        <f>IF(DAY(MaiSo1)=1,MaiSo1,MaiSo1+7)</f>
        <v>42491</v>
      </c>
      <c r="J4" s="5"/>
      <c r="K4" s="46" t="s">
        <v>10</v>
      </c>
      <c r="L4" s="16"/>
      <c r="M4" s="47"/>
      <c r="N4" s="48"/>
    </row>
    <row r="5" spans="1:14" ht="18" customHeight="1" x14ac:dyDescent="0.25">
      <c r="A5" s="4"/>
      <c r="B5" s="27"/>
      <c r="C5" s="10">
        <f>IF(DAY(MaiSo1)=1,MaiSo1+1,MaiSo1+8)</f>
        <v>42492</v>
      </c>
      <c r="D5" s="10">
        <f>IF(DAY(MaiSo1)=1,MaiSo1+2,MaiSo1+9)</f>
        <v>42493</v>
      </c>
      <c r="E5" s="10">
        <f>IF(DAY(MaiSo1)=1,MaiSo1+3,MaiSo1+10)</f>
        <v>42494</v>
      </c>
      <c r="F5" s="10">
        <f>IF(DAY(MaiSo1)=1,MaiSo1+4,MaiSo1+11)</f>
        <v>42495</v>
      </c>
      <c r="G5" s="10">
        <f>IF(DAY(MaiSo1)=1,MaiSo1+5,MaiSo1+12)</f>
        <v>42496</v>
      </c>
      <c r="H5" s="10">
        <f>IF(DAY(MaiSo1)=1,MaiSo1+6,MaiSo1+13)</f>
        <v>42497</v>
      </c>
      <c r="I5" s="10">
        <f>IF(DAY(MaiSo1)=1,MaiSo1+7,MaiSo1+14)</f>
        <v>42498</v>
      </c>
      <c r="J5" s="5"/>
      <c r="K5" s="32"/>
      <c r="L5" s="17"/>
      <c r="M5" s="33"/>
      <c r="N5" s="34"/>
    </row>
    <row r="6" spans="1:14" ht="18" customHeight="1" x14ac:dyDescent="0.25">
      <c r="A6" s="4"/>
      <c r="B6" s="27"/>
      <c r="C6" s="10">
        <f>IF(DAY(MaiSo1)=1,MaiSo1+8,MaiSo1+15)</f>
        <v>42499</v>
      </c>
      <c r="D6" s="10">
        <f>IF(DAY(MaiSo1)=1,MaiSo1+9,MaiSo1+16)</f>
        <v>42500</v>
      </c>
      <c r="E6" s="10">
        <f>IF(DAY(MaiSo1)=1,MaiSo1+10,MaiSo1+17)</f>
        <v>42501</v>
      </c>
      <c r="F6" s="10">
        <f>IF(DAY(MaiSo1)=1,MaiSo1+11,MaiSo1+18)</f>
        <v>42502</v>
      </c>
      <c r="G6" s="10">
        <f>IF(DAY(MaiSo1)=1,MaiSo1+12,MaiSo1+19)</f>
        <v>42503</v>
      </c>
      <c r="H6" s="10">
        <f>IF(DAY(MaiSo1)=1,MaiSo1+13,MaiSo1+20)</f>
        <v>42504</v>
      </c>
      <c r="I6" s="10">
        <f>IF(DAY(MaiSo1)=1,MaiSo1+14,MaiSo1+21)</f>
        <v>42505</v>
      </c>
      <c r="J6" s="5"/>
      <c r="K6" s="32"/>
      <c r="L6" s="17"/>
      <c r="M6" s="33"/>
      <c r="N6" s="34"/>
    </row>
    <row r="7" spans="1:14" ht="18" customHeight="1" x14ac:dyDescent="0.25">
      <c r="A7" s="4"/>
      <c r="B7" s="27"/>
      <c r="C7" s="10">
        <f>IF(DAY(MaiSo1)=1,MaiSo1+15,MaiSo1+22)</f>
        <v>42506</v>
      </c>
      <c r="D7" s="10">
        <f>IF(DAY(MaiSo1)=1,MaiSo1+16,MaiSo1+23)</f>
        <v>42507</v>
      </c>
      <c r="E7" s="10">
        <f>IF(DAY(MaiSo1)=1,MaiSo1+17,MaiSo1+24)</f>
        <v>42508</v>
      </c>
      <c r="F7" s="10">
        <f>IF(DAY(MaiSo1)=1,MaiSo1+18,MaiSo1+25)</f>
        <v>42509</v>
      </c>
      <c r="G7" s="10">
        <f>IF(DAY(MaiSo1)=1,MaiSo1+19,MaiSo1+26)</f>
        <v>42510</v>
      </c>
      <c r="H7" s="10">
        <f>IF(DAY(MaiSo1)=1,MaiSo1+20,MaiSo1+27)</f>
        <v>42511</v>
      </c>
      <c r="I7" s="10">
        <f>IF(DAY(MaiSo1)=1,MaiSo1+21,MaiSo1+28)</f>
        <v>42512</v>
      </c>
      <c r="J7" s="5"/>
      <c r="K7" s="11"/>
      <c r="L7" s="17"/>
      <c r="M7" s="33"/>
      <c r="N7" s="34"/>
    </row>
    <row r="8" spans="1:14" ht="18.75" customHeight="1" x14ac:dyDescent="0.25">
      <c r="A8" s="4"/>
      <c r="B8" s="27"/>
      <c r="C8" s="10">
        <f>IF(DAY(MaiSo1)=1,MaiSo1+22,MaiSo1+29)</f>
        <v>42513</v>
      </c>
      <c r="D8" s="10">
        <f>IF(DAY(MaiSo1)=1,MaiSo1+23,MaiSo1+30)</f>
        <v>42514</v>
      </c>
      <c r="E8" s="10">
        <f>IF(DAY(MaiSo1)=1,MaiSo1+24,MaiSo1+31)</f>
        <v>42515</v>
      </c>
      <c r="F8" s="10">
        <f>IF(DAY(MaiSo1)=1,MaiSo1+25,MaiSo1+32)</f>
        <v>42516</v>
      </c>
      <c r="G8" s="10">
        <f>IF(DAY(MaiSo1)=1,MaiSo1+26,MaiSo1+33)</f>
        <v>42517</v>
      </c>
      <c r="H8" s="10">
        <f>IF(DAY(MaiSo1)=1,MaiSo1+27,MaiSo1+34)</f>
        <v>42518</v>
      </c>
      <c r="I8" s="10">
        <f>IF(DAY(MaiSo1)=1,MaiSo1+28,MaiSo1+35)</f>
        <v>42519</v>
      </c>
      <c r="J8" s="5"/>
      <c r="K8" s="11"/>
      <c r="L8" s="17"/>
      <c r="M8" s="33"/>
      <c r="N8" s="34"/>
    </row>
    <row r="9" spans="1:14" ht="18" customHeight="1" x14ac:dyDescent="0.25">
      <c r="A9" s="4"/>
      <c r="B9" s="27"/>
      <c r="C9" s="10">
        <f>IF(DAY(MaiSo1)=1,MaiSo1+29,MaiSo1+36)</f>
        <v>42520</v>
      </c>
      <c r="D9" s="10">
        <f>IF(DAY(MaiSo1)=1,MaiSo1+30,MaiSo1+37)</f>
        <v>42521</v>
      </c>
      <c r="E9" s="10">
        <f>IF(DAY(MaiSo1)=1,MaiSo1+31,MaiSo1+38)</f>
        <v>42522</v>
      </c>
      <c r="F9" s="10">
        <f>IF(DAY(MaiSo1)=1,MaiSo1+32,MaiSo1+39)</f>
        <v>42523</v>
      </c>
      <c r="G9" s="10">
        <f>IF(DAY(MaiSo1)=1,MaiSo1+33,MaiSo1+40)</f>
        <v>42524</v>
      </c>
      <c r="H9" s="10">
        <f>IF(DAY(MaiSo1)=1,MaiSo1+34,MaiSo1+41)</f>
        <v>42525</v>
      </c>
      <c r="I9" s="10">
        <f>IF(DAY(MaiSo1)=1,MaiSo1+35,MaiSo1+42)</f>
        <v>42526</v>
      </c>
      <c r="J9" s="5"/>
      <c r="K9" s="12"/>
      <c r="L9" s="18"/>
      <c r="M9" s="35"/>
      <c r="N9" s="36"/>
    </row>
    <row r="10" spans="1:14" ht="18" customHeight="1" x14ac:dyDescent="0.25">
      <c r="A10" s="4"/>
      <c r="B10" s="28"/>
      <c r="C10" s="23"/>
      <c r="D10" s="23"/>
      <c r="E10" s="23"/>
      <c r="F10" s="23"/>
      <c r="G10" s="23"/>
      <c r="H10" s="23"/>
      <c r="I10" s="23"/>
      <c r="J10" s="24"/>
      <c r="K10" s="31" t="s">
        <v>12</v>
      </c>
      <c r="L10" s="16"/>
      <c r="M10" s="37"/>
      <c r="N10" s="38"/>
    </row>
    <row r="11" spans="1:14" ht="18" customHeight="1" x14ac:dyDescent="0.25">
      <c r="A11" s="4"/>
      <c r="B11" s="70" t="s">
        <v>14</v>
      </c>
      <c r="C11" s="71"/>
      <c r="D11" s="71"/>
      <c r="E11" s="71"/>
      <c r="F11" s="71"/>
      <c r="G11" s="71"/>
      <c r="H11" s="71"/>
      <c r="I11" s="71"/>
      <c r="J11" s="72"/>
      <c r="K11" s="32"/>
      <c r="L11" s="17"/>
      <c r="M11" s="33"/>
      <c r="N11" s="34"/>
    </row>
    <row r="12" spans="1:14" ht="18" customHeight="1" x14ac:dyDescent="0.25">
      <c r="A12" s="4"/>
      <c r="B12" s="70"/>
      <c r="C12" s="71"/>
      <c r="D12" s="71"/>
      <c r="E12" s="71"/>
      <c r="F12" s="71"/>
      <c r="G12" s="71"/>
      <c r="H12" s="71"/>
      <c r="I12" s="71"/>
      <c r="J12" s="72"/>
      <c r="K12" s="32"/>
      <c r="L12" s="17"/>
      <c r="M12" s="33"/>
      <c r="N12" s="34"/>
    </row>
    <row r="13" spans="1:14" ht="18" customHeight="1" x14ac:dyDescent="0.25">
      <c r="B13" s="3" t="s">
        <v>10</v>
      </c>
      <c r="C13" s="39" t="s">
        <v>12</v>
      </c>
      <c r="D13" s="41"/>
      <c r="E13" s="39" t="s">
        <v>15</v>
      </c>
      <c r="F13" s="41"/>
      <c r="G13" s="39" t="s">
        <v>16</v>
      </c>
      <c r="H13" s="41"/>
      <c r="I13" s="39" t="s">
        <v>17</v>
      </c>
      <c r="J13" s="40"/>
      <c r="K13" s="11"/>
      <c r="L13" s="17"/>
      <c r="M13" s="33"/>
      <c r="N13" s="34"/>
    </row>
    <row r="14" spans="1:14" ht="18" customHeight="1" x14ac:dyDescent="0.25">
      <c r="B14" s="8" t="s">
        <v>18</v>
      </c>
      <c r="C14" s="53"/>
      <c r="D14" s="54"/>
      <c r="E14" s="53" t="s">
        <v>18</v>
      </c>
      <c r="F14" s="54"/>
      <c r="G14" s="53"/>
      <c r="H14" s="54"/>
      <c r="I14" s="53" t="s">
        <v>18</v>
      </c>
      <c r="J14" s="62"/>
      <c r="K14" s="11"/>
      <c r="L14" s="17"/>
      <c r="M14" s="33"/>
      <c r="N14" s="34"/>
    </row>
    <row r="15" spans="1:14" ht="18" customHeight="1" x14ac:dyDescent="0.25">
      <c r="B15" s="6" t="s">
        <v>19</v>
      </c>
      <c r="C15" s="51"/>
      <c r="D15" s="52"/>
      <c r="E15" s="51" t="s">
        <v>19</v>
      </c>
      <c r="F15" s="52"/>
      <c r="G15" s="51"/>
      <c r="H15" s="52"/>
      <c r="I15" s="59" t="s">
        <v>19</v>
      </c>
      <c r="J15" s="60"/>
      <c r="K15" s="13"/>
      <c r="L15" s="19"/>
      <c r="M15" s="35"/>
      <c r="N15" s="36"/>
    </row>
    <row r="16" spans="1:14" ht="18" customHeight="1" x14ac:dyDescent="0.25">
      <c r="B16" s="8"/>
      <c r="C16" s="53" t="s">
        <v>20</v>
      </c>
      <c r="D16" s="54"/>
      <c r="E16" s="53"/>
      <c r="F16" s="54"/>
      <c r="G16" s="53" t="s">
        <v>20</v>
      </c>
      <c r="H16" s="54"/>
      <c r="I16" s="63"/>
      <c r="J16" s="64"/>
      <c r="K16" s="31" t="s">
        <v>15</v>
      </c>
      <c r="L16" s="16"/>
      <c r="M16" s="37"/>
      <c r="N16" s="38"/>
    </row>
    <row r="17" spans="2:14" ht="18" customHeight="1" x14ac:dyDescent="0.25">
      <c r="B17" s="6"/>
      <c r="C17" s="51" t="s">
        <v>21</v>
      </c>
      <c r="D17" s="52"/>
      <c r="E17" s="51"/>
      <c r="F17" s="52"/>
      <c r="G17" s="51" t="s">
        <v>21</v>
      </c>
      <c r="H17" s="52"/>
      <c r="I17" s="59"/>
      <c r="J17" s="60"/>
      <c r="K17" s="32"/>
      <c r="L17" s="17"/>
      <c r="M17" s="33"/>
      <c r="N17" s="34"/>
    </row>
    <row r="18" spans="2:14" ht="18" customHeight="1" x14ac:dyDescent="0.25">
      <c r="B18" s="9" t="s">
        <v>22</v>
      </c>
      <c r="C18" s="55"/>
      <c r="D18" s="56"/>
      <c r="E18" s="55" t="s">
        <v>22</v>
      </c>
      <c r="F18" s="56"/>
      <c r="G18" s="55"/>
      <c r="H18" s="56"/>
      <c r="I18" s="55" t="s">
        <v>22</v>
      </c>
      <c r="J18" s="61"/>
      <c r="K18" s="32"/>
      <c r="L18" s="17"/>
      <c r="M18" s="33"/>
      <c r="N18" s="34"/>
    </row>
    <row r="19" spans="2:14" ht="18" customHeight="1" x14ac:dyDescent="0.25">
      <c r="B19" s="6" t="s">
        <v>23</v>
      </c>
      <c r="C19" s="51"/>
      <c r="D19" s="52"/>
      <c r="E19" s="51" t="s">
        <v>23</v>
      </c>
      <c r="F19" s="52"/>
      <c r="G19" s="51"/>
      <c r="H19" s="52"/>
      <c r="I19" s="59" t="s">
        <v>23</v>
      </c>
      <c r="J19" s="60"/>
      <c r="K19" s="11"/>
      <c r="L19" s="17"/>
      <c r="M19" s="33"/>
      <c r="N19" s="34"/>
    </row>
    <row r="20" spans="2:14" ht="18" customHeight="1" x14ac:dyDescent="0.25">
      <c r="B20" s="8"/>
      <c r="C20" s="53"/>
      <c r="D20" s="54"/>
      <c r="E20" s="53"/>
      <c r="F20" s="54"/>
      <c r="G20" s="53"/>
      <c r="H20" s="54"/>
      <c r="I20" s="53"/>
      <c r="J20" s="62"/>
      <c r="K20" s="11"/>
      <c r="L20" s="17"/>
      <c r="M20" s="33"/>
      <c r="N20" s="34"/>
    </row>
    <row r="21" spans="2:14" ht="18" customHeight="1" x14ac:dyDescent="0.25">
      <c r="B21" s="6"/>
      <c r="C21" s="51"/>
      <c r="D21" s="52"/>
      <c r="E21" s="51"/>
      <c r="F21" s="52"/>
      <c r="G21" s="51"/>
      <c r="H21" s="52"/>
      <c r="I21" s="65"/>
      <c r="J21" s="66"/>
      <c r="K21" s="13"/>
      <c r="L21" s="19"/>
      <c r="M21" s="35"/>
      <c r="N21" s="36"/>
    </row>
    <row r="22" spans="2:14" ht="18" customHeight="1" x14ac:dyDescent="0.25">
      <c r="B22" s="8"/>
      <c r="C22" s="53"/>
      <c r="D22" s="54"/>
      <c r="E22" s="53"/>
      <c r="F22" s="54"/>
      <c r="G22" s="53"/>
      <c r="H22" s="54"/>
      <c r="I22" s="53"/>
      <c r="J22" s="62"/>
      <c r="K22" s="31" t="s">
        <v>16</v>
      </c>
      <c r="L22" s="16"/>
      <c r="M22" s="37"/>
      <c r="N22" s="38"/>
    </row>
    <row r="23" spans="2:14" ht="18" customHeight="1" x14ac:dyDescent="0.25">
      <c r="B23" s="6"/>
      <c r="C23" s="51"/>
      <c r="D23" s="52"/>
      <c r="E23" s="51"/>
      <c r="F23" s="52"/>
      <c r="G23" s="51"/>
      <c r="H23" s="52"/>
      <c r="I23" s="59"/>
      <c r="J23" s="60"/>
      <c r="K23" s="32"/>
      <c r="L23" s="17"/>
      <c r="M23" s="33"/>
      <c r="N23" s="34"/>
    </row>
    <row r="24" spans="2:14" ht="18" customHeight="1" x14ac:dyDescent="0.25">
      <c r="B24" s="8"/>
      <c r="C24" s="53"/>
      <c r="D24" s="54"/>
      <c r="E24" s="53"/>
      <c r="F24" s="54"/>
      <c r="G24" s="53"/>
      <c r="H24" s="54"/>
      <c r="I24" s="53"/>
      <c r="J24" s="62"/>
      <c r="K24" s="32"/>
      <c r="L24" s="17"/>
      <c r="M24" s="33"/>
      <c r="N24" s="34"/>
    </row>
    <row r="25" spans="2:14" ht="18" customHeight="1" x14ac:dyDescent="0.25">
      <c r="B25" s="6"/>
      <c r="C25" s="51"/>
      <c r="D25" s="52"/>
      <c r="E25" s="51"/>
      <c r="F25" s="52"/>
      <c r="G25" s="51"/>
      <c r="H25" s="52"/>
      <c r="I25" s="59"/>
      <c r="J25" s="60"/>
      <c r="K25" s="32"/>
      <c r="L25" s="17"/>
      <c r="M25" s="33"/>
      <c r="N25" s="34"/>
    </row>
    <row r="26" spans="2:14" ht="18" customHeight="1" x14ac:dyDescent="0.25">
      <c r="B26" s="8" t="s">
        <v>24</v>
      </c>
      <c r="C26" s="53"/>
      <c r="D26" s="54"/>
      <c r="E26" s="53" t="s">
        <v>24</v>
      </c>
      <c r="F26" s="54"/>
      <c r="G26" s="53"/>
      <c r="H26" s="54"/>
      <c r="I26" s="53" t="s">
        <v>24</v>
      </c>
      <c r="J26" s="62"/>
      <c r="K26" s="11"/>
      <c r="L26" s="17"/>
      <c r="M26" s="33"/>
      <c r="N26" s="34"/>
    </row>
    <row r="27" spans="2:14" ht="18" customHeight="1" x14ac:dyDescent="0.25">
      <c r="B27" s="6" t="s">
        <v>25</v>
      </c>
      <c r="C27" s="51"/>
      <c r="D27" s="52"/>
      <c r="E27" s="51" t="s">
        <v>25</v>
      </c>
      <c r="F27" s="52"/>
      <c r="G27" s="51"/>
      <c r="H27" s="52"/>
      <c r="I27" s="59" t="s">
        <v>25</v>
      </c>
      <c r="J27" s="60"/>
      <c r="K27" s="13"/>
      <c r="L27" s="19"/>
      <c r="M27" s="35"/>
      <c r="N27" s="36"/>
    </row>
    <row r="28" spans="2:14" ht="18" customHeight="1" x14ac:dyDescent="0.25">
      <c r="B28" s="8"/>
      <c r="C28" s="53"/>
      <c r="D28" s="54"/>
      <c r="E28" s="53"/>
      <c r="F28" s="54"/>
      <c r="G28" s="53"/>
      <c r="H28" s="54"/>
      <c r="I28" s="53"/>
      <c r="J28" s="62"/>
      <c r="K28" s="31" t="s">
        <v>17</v>
      </c>
      <c r="L28" s="16"/>
      <c r="M28" s="37"/>
      <c r="N28" s="38"/>
    </row>
    <row r="29" spans="2:14" ht="18" customHeight="1" x14ac:dyDescent="0.25">
      <c r="B29" s="6"/>
      <c r="C29" s="51"/>
      <c r="D29" s="52"/>
      <c r="E29" s="51"/>
      <c r="F29" s="52"/>
      <c r="G29" s="51"/>
      <c r="H29" s="52"/>
      <c r="I29" s="51"/>
      <c r="J29" s="67"/>
      <c r="K29" s="32"/>
      <c r="L29" s="17"/>
      <c r="M29" s="33"/>
      <c r="N29" s="34"/>
    </row>
    <row r="30" spans="2:14" ht="18" customHeight="1" x14ac:dyDescent="0.25">
      <c r="B30" s="8"/>
      <c r="C30" s="53" t="s">
        <v>26</v>
      </c>
      <c r="D30" s="54"/>
      <c r="E30" s="53"/>
      <c r="F30" s="54"/>
      <c r="G30" s="53" t="s">
        <v>26</v>
      </c>
      <c r="H30" s="54"/>
      <c r="I30" s="75"/>
      <c r="J30" s="76"/>
      <c r="K30" s="32"/>
      <c r="L30" s="17"/>
      <c r="M30" s="33"/>
      <c r="N30" s="34"/>
    </row>
    <row r="31" spans="2:14" ht="18" customHeight="1" x14ac:dyDescent="0.25">
      <c r="B31" s="6"/>
      <c r="C31" s="51" t="s">
        <v>27</v>
      </c>
      <c r="D31" s="52"/>
      <c r="E31" s="51"/>
      <c r="F31" s="52"/>
      <c r="G31" s="51" t="s">
        <v>27</v>
      </c>
      <c r="H31" s="52"/>
      <c r="I31" s="51"/>
      <c r="J31" s="67"/>
      <c r="K31" s="14"/>
      <c r="L31" s="17"/>
      <c r="M31" s="33"/>
      <c r="N31" s="34"/>
    </row>
    <row r="32" spans="2:14" ht="18" customHeight="1" x14ac:dyDescent="0.25">
      <c r="B32" s="8"/>
      <c r="C32" s="53"/>
      <c r="D32" s="54"/>
      <c r="E32" s="53"/>
      <c r="F32" s="54"/>
      <c r="G32" s="53"/>
      <c r="H32" s="54"/>
      <c r="I32" s="63"/>
      <c r="J32" s="64"/>
      <c r="K32" s="14"/>
      <c r="L32" s="17"/>
      <c r="M32" s="33"/>
      <c r="N32" s="34"/>
    </row>
    <row r="33" spans="2:14" ht="18" customHeight="1" x14ac:dyDescent="0.25">
      <c r="B33" s="7"/>
      <c r="C33" s="57"/>
      <c r="D33" s="58"/>
      <c r="E33" s="57"/>
      <c r="F33" s="58"/>
      <c r="G33" s="57"/>
      <c r="H33" s="58"/>
      <c r="I33" s="77"/>
      <c r="J33" s="78"/>
      <c r="K33" s="15"/>
      <c r="L33" s="20"/>
      <c r="M33" s="73"/>
      <c r="N33" s="74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conditionalFormatting sqref="C4:H4">
    <cfRule type="expression" dxfId="31" priority="3" stopIfTrue="1">
      <formula>DAY(C4)&gt;8</formula>
    </cfRule>
  </conditionalFormatting>
  <conditionalFormatting sqref="C8:I10">
    <cfRule type="expression" dxfId="30" priority="2" stopIfTrue="1">
      <formula>AND(DAY(C8)&gt;=1,DAY(C8)&lt;=15)</formula>
    </cfRule>
  </conditionalFormatting>
  <conditionalFormatting sqref="C4:I9">
    <cfRule type="expression" dxfId="29" priority="4">
      <formula>VLOOKUP(DAY(C4),HausaufgabenTage,1,FALSE)=DAY(C4)</formula>
    </cfRule>
  </conditionalFormatting>
  <conditionalFormatting sqref="B14:J33">
    <cfRule type="expression" dxfId="28" priority="1">
      <formula>B14&lt;&gt;""</formula>
    </cfRule>
  </conditionalFormatting>
  <printOptions horizontalCentered="1" verticalCentered="1"/>
  <pageMargins left="0.5" right="0.5" top="0.5" bottom="0.5" header="0.3" footer="0.3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4"/>
    <pageSetUpPr fitToPage="1"/>
  </sheetPr>
  <dimension ref="A1:O33"/>
  <sheetViews>
    <sheetView showGridLines="0" zoomScaleNormal="100" zoomScalePageLayoutView="84" workbookViewId="0"/>
  </sheetViews>
  <sheetFormatPr defaultColWidth="8.6640625" defaultRowHeight="16.5" customHeight="1" x14ac:dyDescent="0.25"/>
  <cols>
    <col min="1" max="1" width="2.33203125" style="1" customWidth="1"/>
    <col min="2" max="2" width="12.6640625" style="1" customWidth="1"/>
    <col min="3" max="4" width="7.33203125" style="1" customWidth="1"/>
    <col min="5" max="6" width="6.6640625" style="1" customWidth="1"/>
    <col min="7" max="8" width="7.33203125" style="1" customWidth="1"/>
    <col min="9" max="10" width="6.6640625" style="1" customWidth="1"/>
    <col min="11" max="11" width="7.33203125" style="1" customWidth="1"/>
    <col min="12" max="12" width="3.88671875" customWidth="1"/>
    <col min="13" max="13" width="51.44140625" style="1" customWidth="1"/>
    <col min="14" max="14" width="10.6640625" style="1" customWidth="1"/>
    <col min="15" max="15" width="2.33203125" customWidth="1"/>
    <col min="16" max="16" width="40.6640625" style="1" customWidth="1"/>
    <col min="17" max="16384" width="8.6640625" style="1"/>
  </cols>
  <sheetData>
    <row r="1" spans="1:14" ht="11.25" customHeight="1" x14ac:dyDescent="0.25"/>
    <row r="2" spans="1:14" ht="18" customHeight="1" x14ac:dyDescent="0.25">
      <c r="A2" s="4"/>
      <c r="B2" s="29"/>
      <c r="C2" s="21"/>
      <c r="D2" s="21"/>
      <c r="E2" s="21"/>
      <c r="F2" s="21"/>
      <c r="G2" s="21"/>
      <c r="H2" s="21"/>
      <c r="I2" s="21"/>
      <c r="J2" s="22"/>
      <c r="K2" s="42" t="s">
        <v>0</v>
      </c>
      <c r="L2" s="43">
        <v>2013</v>
      </c>
      <c r="M2" s="43"/>
      <c r="N2" s="79">
        <f>KalenderJahr</f>
        <v>2016</v>
      </c>
    </row>
    <row r="3" spans="1:14" ht="21" customHeight="1" x14ac:dyDescent="0.25">
      <c r="A3" s="4"/>
      <c r="B3" s="68" t="s">
        <v>32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5"/>
      <c r="K3" s="44"/>
      <c r="L3" s="45"/>
      <c r="M3" s="45"/>
      <c r="N3" s="80"/>
    </row>
    <row r="4" spans="1:14" ht="18" customHeight="1" x14ac:dyDescent="0.25">
      <c r="A4" s="4"/>
      <c r="B4" s="68"/>
      <c r="C4" s="10">
        <f>IF(DAY(JunSo1)=1,JunSo1-6,JunSo1+1)</f>
        <v>42520</v>
      </c>
      <c r="D4" s="10">
        <f>IF(DAY(JunSo1)=1,JunSo1-5,JunSo1+2)</f>
        <v>42521</v>
      </c>
      <c r="E4" s="10">
        <f>IF(DAY(JunSo1)=1,JunSo1-4,JunSo1+3)</f>
        <v>42522</v>
      </c>
      <c r="F4" s="10">
        <f>IF(DAY(JunSo1)=1,JunSo1-3,JunSo1+4)</f>
        <v>42523</v>
      </c>
      <c r="G4" s="10">
        <f>IF(DAY(JunSo1)=1,JunSo1-2,JunSo1+5)</f>
        <v>42524</v>
      </c>
      <c r="H4" s="10">
        <f>IF(DAY(JunSo1)=1,JunSo1-1,JunSo1+6)</f>
        <v>42525</v>
      </c>
      <c r="I4" s="10">
        <f>IF(DAY(JunSo1)=1,JunSo1,JunSo1+7)</f>
        <v>42526</v>
      </c>
      <c r="J4" s="5"/>
      <c r="K4" s="46" t="s">
        <v>10</v>
      </c>
      <c r="L4" s="16"/>
      <c r="M4" s="47"/>
      <c r="N4" s="48"/>
    </row>
    <row r="5" spans="1:14" ht="18" customHeight="1" x14ac:dyDescent="0.25">
      <c r="A5" s="4"/>
      <c r="B5" s="27"/>
      <c r="C5" s="10">
        <f>IF(DAY(JunSo1)=1,JunSo1+1,JunSo1+8)</f>
        <v>42527</v>
      </c>
      <c r="D5" s="10">
        <f>IF(DAY(JunSo1)=1,JunSo1+2,JunSo1+9)</f>
        <v>42528</v>
      </c>
      <c r="E5" s="10">
        <f>IF(DAY(JunSo1)=1,JunSo1+3,JunSo1+10)</f>
        <v>42529</v>
      </c>
      <c r="F5" s="10">
        <f>IF(DAY(JunSo1)=1,JunSo1+4,JunSo1+11)</f>
        <v>42530</v>
      </c>
      <c r="G5" s="10">
        <f>IF(DAY(JunSo1)=1,JunSo1+5,JunSo1+12)</f>
        <v>42531</v>
      </c>
      <c r="H5" s="10">
        <f>IF(DAY(JunSo1)=1,JunSo1+6,JunSo1+13)</f>
        <v>42532</v>
      </c>
      <c r="I5" s="10">
        <f>IF(DAY(JunSo1)=1,JunSo1+7,JunSo1+14)</f>
        <v>42533</v>
      </c>
      <c r="J5" s="5"/>
      <c r="K5" s="32"/>
      <c r="L5" s="17"/>
      <c r="M5" s="33"/>
      <c r="N5" s="34"/>
    </row>
    <row r="6" spans="1:14" ht="18" customHeight="1" x14ac:dyDescent="0.25">
      <c r="A6" s="4"/>
      <c r="B6" s="27"/>
      <c r="C6" s="10">
        <f>IF(DAY(JunSo1)=1,JunSo1+8,JunSo1+15)</f>
        <v>42534</v>
      </c>
      <c r="D6" s="10">
        <f>IF(DAY(JunSo1)=1,JunSo1+9,JunSo1+16)</f>
        <v>42535</v>
      </c>
      <c r="E6" s="10">
        <f>IF(DAY(JunSo1)=1,JunSo1+10,JunSo1+17)</f>
        <v>42536</v>
      </c>
      <c r="F6" s="10">
        <f>IF(DAY(JunSo1)=1,JunSo1+11,JunSo1+18)</f>
        <v>42537</v>
      </c>
      <c r="G6" s="10">
        <f>IF(DAY(JunSo1)=1,JunSo1+12,JunSo1+19)</f>
        <v>42538</v>
      </c>
      <c r="H6" s="10">
        <f>IF(DAY(JunSo1)=1,JunSo1+13,JunSo1+20)</f>
        <v>42539</v>
      </c>
      <c r="I6" s="10">
        <f>IF(DAY(JunSo1)=1,JunSo1+14,JunSo1+21)</f>
        <v>42540</v>
      </c>
      <c r="J6" s="5"/>
      <c r="K6" s="32"/>
      <c r="L6" s="17"/>
      <c r="M6" s="33"/>
      <c r="N6" s="34"/>
    </row>
    <row r="7" spans="1:14" ht="18" customHeight="1" x14ac:dyDescent="0.25">
      <c r="A7" s="4"/>
      <c r="B7" s="27"/>
      <c r="C7" s="10">
        <f>IF(DAY(JunSo1)=1,JunSo1+15,JunSo1+22)</f>
        <v>42541</v>
      </c>
      <c r="D7" s="10">
        <f>IF(DAY(JunSo1)=1,JunSo1+16,JunSo1+23)</f>
        <v>42542</v>
      </c>
      <c r="E7" s="10">
        <f>IF(DAY(JunSo1)=1,JunSo1+17,JunSo1+24)</f>
        <v>42543</v>
      </c>
      <c r="F7" s="10">
        <f>IF(DAY(JunSo1)=1,JunSo1+18,JunSo1+25)</f>
        <v>42544</v>
      </c>
      <c r="G7" s="10">
        <f>IF(DAY(JunSo1)=1,JunSo1+19,JunSo1+26)</f>
        <v>42545</v>
      </c>
      <c r="H7" s="10">
        <f>IF(DAY(JunSo1)=1,JunSo1+20,JunSo1+27)</f>
        <v>42546</v>
      </c>
      <c r="I7" s="10">
        <f>IF(DAY(JunSo1)=1,JunSo1+21,JunSo1+28)</f>
        <v>42547</v>
      </c>
      <c r="J7" s="5"/>
      <c r="K7" s="11"/>
      <c r="L7" s="17"/>
      <c r="M7" s="33"/>
      <c r="N7" s="34"/>
    </row>
    <row r="8" spans="1:14" ht="18.75" customHeight="1" x14ac:dyDescent="0.25">
      <c r="A8" s="4"/>
      <c r="B8" s="27"/>
      <c r="C8" s="10">
        <f>IF(DAY(JunSo1)=1,JunSo1+22,JunSo1+29)</f>
        <v>42548</v>
      </c>
      <c r="D8" s="10">
        <f>IF(DAY(JunSo1)=1,JunSo1+23,JunSo1+30)</f>
        <v>42549</v>
      </c>
      <c r="E8" s="10">
        <f>IF(DAY(JunSo1)=1,JunSo1+24,JunSo1+31)</f>
        <v>42550</v>
      </c>
      <c r="F8" s="10">
        <f>IF(DAY(JunSo1)=1,JunSo1+25,JunSo1+32)</f>
        <v>42551</v>
      </c>
      <c r="G8" s="10">
        <f>IF(DAY(JunSo1)=1,JunSo1+26,JunSo1+33)</f>
        <v>42552</v>
      </c>
      <c r="H8" s="10">
        <f>IF(DAY(JunSo1)=1,JunSo1+27,JunSo1+34)</f>
        <v>42553</v>
      </c>
      <c r="I8" s="10">
        <f>IF(DAY(JunSo1)=1,JunSo1+28,JunSo1+35)</f>
        <v>42554</v>
      </c>
      <c r="J8" s="5"/>
      <c r="K8" s="11"/>
      <c r="L8" s="17"/>
      <c r="M8" s="33"/>
      <c r="N8" s="34"/>
    </row>
    <row r="9" spans="1:14" ht="18" customHeight="1" x14ac:dyDescent="0.25">
      <c r="A9" s="4"/>
      <c r="B9" s="27"/>
      <c r="C9" s="10">
        <f>IF(DAY(JunSo1)=1,JunSo1+29,JunSo1+36)</f>
        <v>42555</v>
      </c>
      <c r="D9" s="10">
        <f>IF(DAY(JunSo1)=1,JunSo1+30,JunSo1+37)</f>
        <v>42556</v>
      </c>
      <c r="E9" s="10">
        <f>IF(DAY(JunSo1)=1,JunSo1+31,JunSo1+38)</f>
        <v>42557</v>
      </c>
      <c r="F9" s="10">
        <f>IF(DAY(JunSo1)=1,JunSo1+32,JunSo1+39)</f>
        <v>42558</v>
      </c>
      <c r="G9" s="10">
        <f>IF(DAY(JunSo1)=1,JunSo1+33,JunSo1+40)</f>
        <v>42559</v>
      </c>
      <c r="H9" s="10">
        <f>IF(DAY(JunSo1)=1,JunSo1+34,JunSo1+41)</f>
        <v>42560</v>
      </c>
      <c r="I9" s="10">
        <f>IF(DAY(JunSo1)=1,JunSo1+35,JunSo1+42)</f>
        <v>42561</v>
      </c>
      <c r="J9" s="5"/>
      <c r="K9" s="12"/>
      <c r="L9" s="18"/>
      <c r="M9" s="35"/>
      <c r="N9" s="36"/>
    </row>
    <row r="10" spans="1:14" ht="18" customHeight="1" x14ac:dyDescent="0.25">
      <c r="A10" s="4"/>
      <c r="B10" s="28"/>
      <c r="C10" s="23"/>
      <c r="D10" s="23"/>
      <c r="E10" s="23"/>
      <c r="F10" s="23"/>
      <c r="G10" s="23"/>
      <c r="H10" s="23"/>
      <c r="I10" s="23"/>
      <c r="J10" s="24"/>
      <c r="K10" s="31" t="s">
        <v>12</v>
      </c>
      <c r="L10" s="16"/>
      <c r="M10" s="37"/>
      <c r="N10" s="38"/>
    </row>
    <row r="11" spans="1:14" ht="18" customHeight="1" x14ac:dyDescent="0.25">
      <c r="A11" s="4"/>
      <c r="B11" s="70" t="s">
        <v>14</v>
      </c>
      <c r="C11" s="71"/>
      <c r="D11" s="71"/>
      <c r="E11" s="71"/>
      <c r="F11" s="71"/>
      <c r="G11" s="71"/>
      <c r="H11" s="71"/>
      <c r="I11" s="71"/>
      <c r="J11" s="72"/>
      <c r="K11" s="32"/>
      <c r="L11" s="17"/>
      <c r="M11" s="33"/>
      <c r="N11" s="34"/>
    </row>
    <row r="12" spans="1:14" ht="18" customHeight="1" x14ac:dyDescent="0.25">
      <c r="A12" s="4"/>
      <c r="B12" s="70"/>
      <c r="C12" s="71"/>
      <c r="D12" s="71"/>
      <c r="E12" s="71"/>
      <c r="F12" s="71"/>
      <c r="G12" s="71"/>
      <c r="H12" s="71"/>
      <c r="I12" s="71"/>
      <c r="J12" s="72"/>
      <c r="K12" s="32"/>
      <c r="L12" s="17"/>
      <c r="M12" s="33"/>
      <c r="N12" s="34"/>
    </row>
    <row r="13" spans="1:14" ht="18" customHeight="1" x14ac:dyDescent="0.25">
      <c r="B13" s="3" t="s">
        <v>10</v>
      </c>
      <c r="C13" s="39" t="s">
        <v>12</v>
      </c>
      <c r="D13" s="41"/>
      <c r="E13" s="39" t="s">
        <v>15</v>
      </c>
      <c r="F13" s="41"/>
      <c r="G13" s="39" t="s">
        <v>16</v>
      </c>
      <c r="H13" s="41"/>
      <c r="I13" s="39" t="s">
        <v>17</v>
      </c>
      <c r="J13" s="40"/>
      <c r="K13" s="11"/>
      <c r="L13" s="17"/>
      <c r="M13" s="33"/>
      <c r="N13" s="34"/>
    </row>
    <row r="14" spans="1:14" ht="18" customHeight="1" x14ac:dyDescent="0.25">
      <c r="B14" s="8" t="s">
        <v>18</v>
      </c>
      <c r="C14" s="53"/>
      <c r="D14" s="54"/>
      <c r="E14" s="53" t="s">
        <v>18</v>
      </c>
      <c r="F14" s="54"/>
      <c r="G14" s="53"/>
      <c r="H14" s="54"/>
      <c r="I14" s="53" t="s">
        <v>18</v>
      </c>
      <c r="J14" s="62"/>
      <c r="K14" s="11"/>
      <c r="L14" s="17"/>
      <c r="M14" s="33"/>
      <c r="N14" s="34"/>
    </row>
    <row r="15" spans="1:14" ht="18" customHeight="1" x14ac:dyDescent="0.25">
      <c r="B15" s="6" t="s">
        <v>19</v>
      </c>
      <c r="C15" s="51"/>
      <c r="D15" s="52"/>
      <c r="E15" s="51" t="s">
        <v>19</v>
      </c>
      <c r="F15" s="52"/>
      <c r="G15" s="51"/>
      <c r="H15" s="52"/>
      <c r="I15" s="59" t="s">
        <v>19</v>
      </c>
      <c r="J15" s="60"/>
      <c r="K15" s="13"/>
      <c r="L15" s="19"/>
      <c r="M15" s="35"/>
      <c r="N15" s="36"/>
    </row>
    <row r="16" spans="1:14" ht="18" customHeight="1" x14ac:dyDescent="0.25">
      <c r="B16" s="8"/>
      <c r="C16" s="53" t="s">
        <v>20</v>
      </c>
      <c r="D16" s="54"/>
      <c r="E16" s="53"/>
      <c r="F16" s="54"/>
      <c r="G16" s="53" t="s">
        <v>20</v>
      </c>
      <c r="H16" s="54"/>
      <c r="I16" s="63"/>
      <c r="J16" s="64"/>
      <c r="K16" s="31" t="s">
        <v>15</v>
      </c>
      <c r="L16" s="16"/>
      <c r="M16" s="37"/>
      <c r="N16" s="38"/>
    </row>
    <row r="17" spans="2:14" ht="18" customHeight="1" x14ac:dyDescent="0.25">
      <c r="B17" s="6"/>
      <c r="C17" s="51" t="s">
        <v>21</v>
      </c>
      <c r="D17" s="52"/>
      <c r="E17" s="51"/>
      <c r="F17" s="52"/>
      <c r="G17" s="51" t="s">
        <v>21</v>
      </c>
      <c r="H17" s="52"/>
      <c r="I17" s="59"/>
      <c r="J17" s="60"/>
      <c r="K17" s="32"/>
      <c r="L17" s="17"/>
      <c r="M17" s="33"/>
      <c r="N17" s="34"/>
    </row>
    <row r="18" spans="2:14" ht="18" customHeight="1" x14ac:dyDescent="0.25">
      <c r="B18" s="9" t="s">
        <v>22</v>
      </c>
      <c r="C18" s="55"/>
      <c r="D18" s="56"/>
      <c r="E18" s="55" t="s">
        <v>22</v>
      </c>
      <c r="F18" s="56"/>
      <c r="G18" s="55"/>
      <c r="H18" s="56"/>
      <c r="I18" s="55" t="s">
        <v>22</v>
      </c>
      <c r="J18" s="61"/>
      <c r="K18" s="32"/>
      <c r="L18" s="17"/>
      <c r="M18" s="33"/>
      <c r="N18" s="34"/>
    </row>
    <row r="19" spans="2:14" ht="18" customHeight="1" x14ac:dyDescent="0.25">
      <c r="B19" s="6" t="s">
        <v>23</v>
      </c>
      <c r="C19" s="51"/>
      <c r="D19" s="52"/>
      <c r="E19" s="51" t="s">
        <v>23</v>
      </c>
      <c r="F19" s="52"/>
      <c r="G19" s="51"/>
      <c r="H19" s="52"/>
      <c r="I19" s="59" t="s">
        <v>23</v>
      </c>
      <c r="J19" s="60"/>
      <c r="K19" s="11"/>
      <c r="L19" s="17"/>
      <c r="M19" s="33"/>
      <c r="N19" s="34"/>
    </row>
    <row r="20" spans="2:14" ht="18" customHeight="1" x14ac:dyDescent="0.25">
      <c r="B20" s="8"/>
      <c r="C20" s="53"/>
      <c r="D20" s="54"/>
      <c r="E20" s="53"/>
      <c r="F20" s="54"/>
      <c r="G20" s="53"/>
      <c r="H20" s="54"/>
      <c r="I20" s="53"/>
      <c r="J20" s="62"/>
      <c r="K20" s="11"/>
      <c r="L20" s="17"/>
      <c r="M20" s="33"/>
      <c r="N20" s="34"/>
    </row>
    <row r="21" spans="2:14" ht="18" customHeight="1" x14ac:dyDescent="0.25">
      <c r="B21" s="6"/>
      <c r="C21" s="51"/>
      <c r="D21" s="52"/>
      <c r="E21" s="51"/>
      <c r="F21" s="52"/>
      <c r="G21" s="51"/>
      <c r="H21" s="52"/>
      <c r="I21" s="65"/>
      <c r="J21" s="66"/>
      <c r="K21" s="13"/>
      <c r="L21" s="19"/>
      <c r="M21" s="35"/>
      <c r="N21" s="36"/>
    </row>
    <row r="22" spans="2:14" ht="18" customHeight="1" x14ac:dyDescent="0.25">
      <c r="B22" s="8"/>
      <c r="C22" s="53"/>
      <c r="D22" s="54"/>
      <c r="E22" s="53"/>
      <c r="F22" s="54"/>
      <c r="G22" s="53"/>
      <c r="H22" s="54"/>
      <c r="I22" s="53"/>
      <c r="J22" s="62"/>
      <c r="K22" s="31" t="s">
        <v>16</v>
      </c>
      <c r="L22" s="16"/>
      <c r="M22" s="37"/>
      <c r="N22" s="38"/>
    </row>
    <row r="23" spans="2:14" ht="18" customHeight="1" x14ac:dyDescent="0.25">
      <c r="B23" s="6"/>
      <c r="C23" s="51"/>
      <c r="D23" s="52"/>
      <c r="E23" s="51"/>
      <c r="F23" s="52"/>
      <c r="G23" s="51"/>
      <c r="H23" s="52"/>
      <c r="I23" s="59"/>
      <c r="J23" s="60"/>
      <c r="K23" s="32"/>
      <c r="L23" s="17"/>
      <c r="M23" s="33"/>
      <c r="N23" s="34"/>
    </row>
    <row r="24" spans="2:14" ht="18" customHeight="1" x14ac:dyDescent="0.25">
      <c r="B24" s="8"/>
      <c r="C24" s="53"/>
      <c r="D24" s="54"/>
      <c r="E24" s="53"/>
      <c r="F24" s="54"/>
      <c r="G24" s="53"/>
      <c r="H24" s="54"/>
      <c r="I24" s="53"/>
      <c r="J24" s="62"/>
      <c r="K24" s="32"/>
      <c r="L24" s="17"/>
      <c r="M24" s="33"/>
      <c r="N24" s="34"/>
    </row>
    <row r="25" spans="2:14" ht="18" customHeight="1" x14ac:dyDescent="0.25">
      <c r="B25" s="6"/>
      <c r="C25" s="51"/>
      <c r="D25" s="52"/>
      <c r="E25" s="51"/>
      <c r="F25" s="52"/>
      <c r="G25" s="51"/>
      <c r="H25" s="52"/>
      <c r="I25" s="59"/>
      <c r="J25" s="60"/>
      <c r="K25" s="32"/>
      <c r="L25" s="17"/>
      <c r="M25" s="33"/>
      <c r="N25" s="34"/>
    </row>
    <row r="26" spans="2:14" ht="18" customHeight="1" x14ac:dyDescent="0.25">
      <c r="B26" s="8" t="s">
        <v>24</v>
      </c>
      <c r="C26" s="53"/>
      <c r="D26" s="54"/>
      <c r="E26" s="53" t="s">
        <v>24</v>
      </c>
      <c r="F26" s="54"/>
      <c r="G26" s="53"/>
      <c r="H26" s="54"/>
      <c r="I26" s="53" t="s">
        <v>24</v>
      </c>
      <c r="J26" s="62"/>
      <c r="K26" s="11"/>
      <c r="L26" s="17"/>
      <c r="M26" s="33"/>
      <c r="N26" s="34"/>
    </row>
    <row r="27" spans="2:14" ht="18" customHeight="1" x14ac:dyDescent="0.25">
      <c r="B27" s="6" t="s">
        <v>25</v>
      </c>
      <c r="C27" s="51"/>
      <c r="D27" s="52"/>
      <c r="E27" s="51" t="s">
        <v>25</v>
      </c>
      <c r="F27" s="52"/>
      <c r="G27" s="51"/>
      <c r="H27" s="52"/>
      <c r="I27" s="59" t="s">
        <v>25</v>
      </c>
      <c r="J27" s="60"/>
      <c r="K27" s="13"/>
      <c r="L27" s="19"/>
      <c r="M27" s="35"/>
      <c r="N27" s="36"/>
    </row>
    <row r="28" spans="2:14" ht="18" customHeight="1" x14ac:dyDescent="0.25">
      <c r="B28" s="8"/>
      <c r="C28" s="53"/>
      <c r="D28" s="54"/>
      <c r="E28" s="53"/>
      <c r="F28" s="54"/>
      <c r="G28" s="53"/>
      <c r="H28" s="54"/>
      <c r="I28" s="53"/>
      <c r="J28" s="62"/>
      <c r="K28" s="31" t="s">
        <v>17</v>
      </c>
      <c r="L28" s="16"/>
      <c r="M28" s="37"/>
      <c r="N28" s="38"/>
    </row>
    <row r="29" spans="2:14" ht="18" customHeight="1" x14ac:dyDescent="0.25">
      <c r="B29" s="6"/>
      <c r="C29" s="51"/>
      <c r="D29" s="52"/>
      <c r="E29" s="51"/>
      <c r="F29" s="52"/>
      <c r="G29" s="51"/>
      <c r="H29" s="52"/>
      <c r="I29" s="51"/>
      <c r="J29" s="67"/>
      <c r="K29" s="32"/>
      <c r="L29" s="17"/>
      <c r="M29" s="33"/>
      <c r="N29" s="34"/>
    </row>
    <row r="30" spans="2:14" ht="18" customHeight="1" x14ac:dyDescent="0.25">
      <c r="B30" s="8"/>
      <c r="C30" s="53" t="s">
        <v>26</v>
      </c>
      <c r="D30" s="54"/>
      <c r="E30" s="53"/>
      <c r="F30" s="54"/>
      <c r="G30" s="53" t="s">
        <v>26</v>
      </c>
      <c r="H30" s="54"/>
      <c r="I30" s="75"/>
      <c r="J30" s="76"/>
      <c r="K30" s="32"/>
      <c r="L30" s="17"/>
      <c r="M30" s="33"/>
      <c r="N30" s="34"/>
    </row>
    <row r="31" spans="2:14" ht="18" customHeight="1" x14ac:dyDescent="0.25">
      <c r="B31" s="6"/>
      <c r="C31" s="51" t="s">
        <v>27</v>
      </c>
      <c r="D31" s="52"/>
      <c r="E31" s="51"/>
      <c r="F31" s="52"/>
      <c r="G31" s="51" t="s">
        <v>27</v>
      </c>
      <c r="H31" s="52"/>
      <c r="I31" s="51"/>
      <c r="J31" s="67"/>
      <c r="K31" s="14"/>
      <c r="L31" s="17"/>
      <c r="M31" s="33"/>
      <c r="N31" s="34"/>
    </row>
    <row r="32" spans="2:14" ht="18" customHeight="1" x14ac:dyDescent="0.25">
      <c r="B32" s="8"/>
      <c r="C32" s="53"/>
      <c r="D32" s="54"/>
      <c r="E32" s="53"/>
      <c r="F32" s="54"/>
      <c r="G32" s="53"/>
      <c r="H32" s="54"/>
      <c r="I32" s="63"/>
      <c r="J32" s="64"/>
      <c r="K32" s="14"/>
      <c r="L32" s="17"/>
      <c r="M32" s="33"/>
      <c r="N32" s="34"/>
    </row>
    <row r="33" spans="2:14" ht="18" customHeight="1" x14ac:dyDescent="0.25">
      <c r="B33" s="7"/>
      <c r="C33" s="57"/>
      <c r="D33" s="58"/>
      <c r="E33" s="57"/>
      <c r="F33" s="58"/>
      <c r="G33" s="57"/>
      <c r="H33" s="58"/>
      <c r="I33" s="77"/>
      <c r="J33" s="78"/>
      <c r="K33" s="15"/>
      <c r="L33" s="20"/>
      <c r="M33" s="73"/>
      <c r="N33" s="74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conditionalFormatting sqref="C4:H4">
    <cfRule type="expression" dxfId="27" priority="3" stopIfTrue="1">
      <formula>DAY(C4)&gt;8</formula>
    </cfRule>
  </conditionalFormatting>
  <conditionalFormatting sqref="C8:I10">
    <cfRule type="expression" dxfId="26" priority="2" stopIfTrue="1">
      <formula>AND(DAY(C8)&gt;=1,DAY(C8)&lt;=15)</formula>
    </cfRule>
  </conditionalFormatting>
  <conditionalFormatting sqref="C4:I9">
    <cfRule type="expression" dxfId="25" priority="4">
      <formula>VLOOKUP(DAY(C4),HausaufgabenTage,1,FALSE)=DAY(C4)</formula>
    </cfRule>
  </conditionalFormatting>
  <conditionalFormatting sqref="B14:J33">
    <cfRule type="expression" dxfId="24" priority="1">
      <formula>B14&lt;&gt;""</formula>
    </cfRule>
  </conditionalFormatting>
  <printOptions horizontalCentered="1" verticalCentered="1"/>
  <pageMargins left="0.5" right="0.5" top="0.5" bottom="0.5" header="0.3" footer="0.3"/>
  <pageSetup paperSize="9" scale="9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4"/>
    <pageSetUpPr fitToPage="1"/>
  </sheetPr>
  <dimension ref="A1:O33"/>
  <sheetViews>
    <sheetView showGridLines="0" zoomScaleNormal="100" zoomScalePageLayoutView="84" workbookViewId="0"/>
  </sheetViews>
  <sheetFormatPr defaultColWidth="8.6640625" defaultRowHeight="16.5" customHeight="1" x14ac:dyDescent="0.25"/>
  <cols>
    <col min="1" max="1" width="2.33203125" style="1" customWidth="1"/>
    <col min="2" max="2" width="12.6640625" style="1" customWidth="1"/>
    <col min="3" max="4" width="7.33203125" style="1" customWidth="1"/>
    <col min="5" max="6" width="6.6640625" style="1" customWidth="1"/>
    <col min="7" max="8" width="7.33203125" style="1" customWidth="1"/>
    <col min="9" max="10" width="6.6640625" style="1" customWidth="1"/>
    <col min="11" max="11" width="7.33203125" style="1" customWidth="1"/>
    <col min="12" max="12" width="3.88671875" customWidth="1"/>
    <col min="13" max="13" width="51.44140625" style="1" customWidth="1"/>
    <col min="14" max="14" width="10.6640625" style="1" customWidth="1"/>
    <col min="15" max="15" width="2.33203125" customWidth="1"/>
    <col min="16" max="16" width="40.6640625" style="1" customWidth="1"/>
    <col min="17" max="16384" width="8.6640625" style="1"/>
  </cols>
  <sheetData>
    <row r="1" spans="1:14" ht="11.25" customHeight="1" x14ac:dyDescent="0.25"/>
    <row r="2" spans="1:14" ht="18" customHeight="1" x14ac:dyDescent="0.25">
      <c r="A2" s="4"/>
      <c r="B2" s="29"/>
      <c r="C2" s="21"/>
      <c r="D2" s="21"/>
      <c r="E2" s="21"/>
      <c r="F2" s="21"/>
      <c r="G2" s="21"/>
      <c r="H2" s="21"/>
      <c r="I2" s="21"/>
      <c r="J2" s="22"/>
      <c r="K2" s="42" t="s">
        <v>0</v>
      </c>
      <c r="L2" s="43">
        <v>2013</v>
      </c>
      <c r="M2" s="43"/>
      <c r="N2" s="79">
        <f>KalenderJahr</f>
        <v>2016</v>
      </c>
    </row>
    <row r="3" spans="1:14" ht="21" customHeight="1" x14ac:dyDescent="0.25">
      <c r="A3" s="4"/>
      <c r="B3" s="68" t="s">
        <v>33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5"/>
      <c r="K3" s="44"/>
      <c r="L3" s="45"/>
      <c r="M3" s="45"/>
      <c r="N3" s="80"/>
    </row>
    <row r="4" spans="1:14" ht="18" customHeight="1" x14ac:dyDescent="0.25">
      <c r="A4" s="4"/>
      <c r="B4" s="68"/>
      <c r="C4" s="10">
        <f>IF(DAY(JulSo1)=1,JulSo1-6,JulSo1+1)</f>
        <v>42548</v>
      </c>
      <c r="D4" s="10">
        <f>IF(DAY(JulSo1)=1,JulSo1-5,JulSo1+2)</f>
        <v>42549</v>
      </c>
      <c r="E4" s="10">
        <f>IF(DAY(JulSo1)=1,JulSo1-4,JulSo1+3)</f>
        <v>42550</v>
      </c>
      <c r="F4" s="10">
        <f>IF(DAY(JulSo1)=1,JulSo1-3,JulSo1+4)</f>
        <v>42551</v>
      </c>
      <c r="G4" s="10">
        <f>IF(DAY(JulSo1)=1,JulSo1-2,JulSo1+5)</f>
        <v>42552</v>
      </c>
      <c r="H4" s="10">
        <f>IF(DAY(JulSo1)=1,JulSo1-1,JulSo1+6)</f>
        <v>42553</v>
      </c>
      <c r="I4" s="10">
        <f>IF(DAY(JulSo1)=1,JulSo1,JulSo1+7)</f>
        <v>42554</v>
      </c>
      <c r="J4" s="5"/>
      <c r="K4" s="46" t="s">
        <v>10</v>
      </c>
      <c r="L4" s="16"/>
      <c r="M4" s="47"/>
      <c r="N4" s="48"/>
    </row>
    <row r="5" spans="1:14" ht="18" customHeight="1" x14ac:dyDescent="0.25">
      <c r="A5" s="4"/>
      <c r="B5" s="27"/>
      <c r="C5" s="10">
        <f>IF(DAY(JulSo1)=1,JulSo1+1,JulSo1+8)</f>
        <v>42555</v>
      </c>
      <c r="D5" s="10">
        <f>IF(DAY(JulSo1)=1,JulSo1+2,JulSo1+9)</f>
        <v>42556</v>
      </c>
      <c r="E5" s="10">
        <f>IF(DAY(JulSo1)=1,JulSo1+3,JulSo1+10)</f>
        <v>42557</v>
      </c>
      <c r="F5" s="10">
        <f>IF(DAY(JulSo1)=1,JulSo1+4,JulSo1+11)</f>
        <v>42558</v>
      </c>
      <c r="G5" s="10">
        <f>IF(DAY(JulSo1)=1,JulSo1+5,JulSo1+12)</f>
        <v>42559</v>
      </c>
      <c r="H5" s="10">
        <f>IF(DAY(JulSo1)=1,JulSo1+6,JulSo1+13)</f>
        <v>42560</v>
      </c>
      <c r="I5" s="10">
        <f>IF(DAY(JulSo1)=1,JulSo1+7,JulSo1+14)</f>
        <v>42561</v>
      </c>
      <c r="J5" s="5"/>
      <c r="K5" s="32"/>
      <c r="L5" s="17"/>
      <c r="M5" s="33"/>
      <c r="N5" s="34"/>
    </row>
    <row r="6" spans="1:14" ht="18" customHeight="1" x14ac:dyDescent="0.25">
      <c r="A6" s="4"/>
      <c r="B6" s="27"/>
      <c r="C6" s="10">
        <f>IF(DAY(JulSo1)=1,JulSo1+8,JulSo1+15)</f>
        <v>42562</v>
      </c>
      <c r="D6" s="10">
        <f>IF(DAY(JulSo1)=1,JulSo1+9,JulSo1+16)</f>
        <v>42563</v>
      </c>
      <c r="E6" s="10">
        <f>IF(DAY(JulSo1)=1,JulSo1+10,JulSo1+17)</f>
        <v>42564</v>
      </c>
      <c r="F6" s="10">
        <f>IF(DAY(JulSo1)=1,JulSo1+11,JulSo1+18)</f>
        <v>42565</v>
      </c>
      <c r="G6" s="10">
        <f>IF(DAY(JulSo1)=1,JulSo1+12,JulSo1+19)</f>
        <v>42566</v>
      </c>
      <c r="H6" s="10">
        <f>IF(DAY(JulSo1)=1,JulSo1+13,JulSo1+20)</f>
        <v>42567</v>
      </c>
      <c r="I6" s="10">
        <f>IF(DAY(JulSo1)=1,JulSo1+14,JulSo1+21)</f>
        <v>42568</v>
      </c>
      <c r="J6" s="5"/>
      <c r="K6" s="32"/>
      <c r="L6" s="17"/>
      <c r="M6" s="33"/>
      <c r="N6" s="34"/>
    </row>
    <row r="7" spans="1:14" ht="18" customHeight="1" x14ac:dyDescent="0.25">
      <c r="A7" s="4"/>
      <c r="B7" s="27"/>
      <c r="C7" s="10">
        <f>IF(DAY(JulSo1)=1,JulSo1+15,JulSo1+22)</f>
        <v>42569</v>
      </c>
      <c r="D7" s="10">
        <f>IF(DAY(JulSo1)=1,JulSo1+16,JulSo1+23)</f>
        <v>42570</v>
      </c>
      <c r="E7" s="10">
        <f>IF(DAY(JulSo1)=1,JulSo1+17,JulSo1+24)</f>
        <v>42571</v>
      </c>
      <c r="F7" s="10">
        <f>IF(DAY(JulSo1)=1,JulSo1+18,JulSo1+25)</f>
        <v>42572</v>
      </c>
      <c r="G7" s="10">
        <f>IF(DAY(JulSo1)=1,JulSo1+19,JulSo1+26)</f>
        <v>42573</v>
      </c>
      <c r="H7" s="10">
        <f>IF(DAY(JulSo1)=1,JulSo1+20,JulSo1+27)</f>
        <v>42574</v>
      </c>
      <c r="I7" s="10">
        <f>IF(DAY(JulSo1)=1,JulSo1+21,JulSo1+28)</f>
        <v>42575</v>
      </c>
      <c r="J7" s="5"/>
      <c r="K7" s="11"/>
      <c r="L7" s="17"/>
      <c r="M7" s="33"/>
      <c r="N7" s="34"/>
    </row>
    <row r="8" spans="1:14" ht="18.75" customHeight="1" x14ac:dyDescent="0.25">
      <c r="A8" s="4"/>
      <c r="B8" s="27"/>
      <c r="C8" s="10">
        <f>IF(DAY(JulSo1)=1,JulSo1+22,JulSo1+29)</f>
        <v>42576</v>
      </c>
      <c r="D8" s="10">
        <f>IF(DAY(JulSo1)=1,JulSo1+23,JulSo1+30)</f>
        <v>42577</v>
      </c>
      <c r="E8" s="10">
        <f>IF(DAY(JulSo1)=1,JulSo1+24,JulSo1+31)</f>
        <v>42578</v>
      </c>
      <c r="F8" s="10">
        <f>IF(DAY(JulSo1)=1,JulSo1+25,JulSo1+32)</f>
        <v>42579</v>
      </c>
      <c r="G8" s="10">
        <f>IF(DAY(JulSo1)=1,JulSo1+26,JulSo1+33)</f>
        <v>42580</v>
      </c>
      <c r="H8" s="10">
        <f>IF(DAY(JulSo1)=1,JulSo1+27,JulSo1+34)</f>
        <v>42581</v>
      </c>
      <c r="I8" s="10">
        <f>IF(DAY(JulSo1)=1,JulSo1+28,JulSo1+35)</f>
        <v>42582</v>
      </c>
      <c r="J8" s="5"/>
      <c r="K8" s="11"/>
      <c r="L8" s="17"/>
      <c r="M8" s="33"/>
      <c r="N8" s="34"/>
    </row>
    <row r="9" spans="1:14" ht="18" customHeight="1" x14ac:dyDescent="0.25">
      <c r="A9" s="4"/>
      <c r="B9" s="27"/>
      <c r="C9" s="10">
        <f>IF(DAY(JulSo1)=1,JulSo1+29,JulSo1+36)</f>
        <v>42583</v>
      </c>
      <c r="D9" s="10">
        <f>IF(DAY(JulSo1)=1,JulSo1+30,JulSo1+37)</f>
        <v>42584</v>
      </c>
      <c r="E9" s="10">
        <f>IF(DAY(JulSo1)=1,JulSo1+31,JulSo1+38)</f>
        <v>42585</v>
      </c>
      <c r="F9" s="10">
        <f>IF(DAY(JulSo1)=1,JulSo1+32,JulSo1+39)</f>
        <v>42586</v>
      </c>
      <c r="G9" s="10">
        <f>IF(DAY(JulSo1)=1,JulSo1+33,JulSo1+40)</f>
        <v>42587</v>
      </c>
      <c r="H9" s="10">
        <f>IF(DAY(JulSo1)=1,JulSo1+34,JulSo1+41)</f>
        <v>42588</v>
      </c>
      <c r="I9" s="10">
        <f>IF(DAY(JulSo1)=1,JulSo1+35,JulSo1+42)</f>
        <v>42589</v>
      </c>
      <c r="J9" s="5"/>
      <c r="K9" s="12"/>
      <c r="L9" s="18"/>
      <c r="M9" s="35"/>
      <c r="N9" s="36"/>
    </row>
    <row r="10" spans="1:14" ht="18" customHeight="1" x14ac:dyDescent="0.25">
      <c r="A10" s="4"/>
      <c r="B10" s="28"/>
      <c r="C10" s="23"/>
      <c r="D10" s="23"/>
      <c r="E10" s="23"/>
      <c r="F10" s="23"/>
      <c r="G10" s="23"/>
      <c r="H10" s="23"/>
      <c r="I10" s="23"/>
      <c r="J10" s="24"/>
      <c r="K10" s="31" t="s">
        <v>12</v>
      </c>
      <c r="L10" s="16"/>
      <c r="M10" s="37"/>
      <c r="N10" s="38"/>
    </row>
    <row r="11" spans="1:14" ht="18" customHeight="1" x14ac:dyDescent="0.25">
      <c r="A11" s="4"/>
      <c r="B11" s="70" t="s">
        <v>14</v>
      </c>
      <c r="C11" s="71"/>
      <c r="D11" s="71"/>
      <c r="E11" s="71"/>
      <c r="F11" s="71"/>
      <c r="G11" s="71"/>
      <c r="H11" s="71"/>
      <c r="I11" s="71"/>
      <c r="J11" s="72"/>
      <c r="K11" s="32"/>
      <c r="L11" s="17"/>
      <c r="M11" s="33"/>
      <c r="N11" s="34"/>
    </row>
    <row r="12" spans="1:14" ht="18" customHeight="1" x14ac:dyDescent="0.25">
      <c r="A12" s="4"/>
      <c r="B12" s="70"/>
      <c r="C12" s="71"/>
      <c r="D12" s="71"/>
      <c r="E12" s="71"/>
      <c r="F12" s="71"/>
      <c r="G12" s="71"/>
      <c r="H12" s="71"/>
      <c r="I12" s="71"/>
      <c r="J12" s="72"/>
      <c r="K12" s="32"/>
      <c r="L12" s="17"/>
      <c r="M12" s="33"/>
      <c r="N12" s="34"/>
    </row>
    <row r="13" spans="1:14" ht="18" customHeight="1" x14ac:dyDescent="0.25">
      <c r="B13" s="3" t="s">
        <v>10</v>
      </c>
      <c r="C13" s="39" t="s">
        <v>12</v>
      </c>
      <c r="D13" s="41"/>
      <c r="E13" s="39" t="s">
        <v>15</v>
      </c>
      <c r="F13" s="41"/>
      <c r="G13" s="39" t="s">
        <v>16</v>
      </c>
      <c r="H13" s="41"/>
      <c r="I13" s="39" t="s">
        <v>17</v>
      </c>
      <c r="J13" s="40"/>
      <c r="K13" s="11"/>
      <c r="L13" s="17"/>
      <c r="M13" s="33"/>
      <c r="N13" s="34"/>
    </row>
    <row r="14" spans="1:14" ht="18" customHeight="1" x14ac:dyDescent="0.25">
      <c r="B14" s="8" t="s">
        <v>18</v>
      </c>
      <c r="C14" s="53"/>
      <c r="D14" s="54"/>
      <c r="E14" s="53" t="s">
        <v>18</v>
      </c>
      <c r="F14" s="54"/>
      <c r="G14" s="53"/>
      <c r="H14" s="54"/>
      <c r="I14" s="53" t="s">
        <v>18</v>
      </c>
      <c r="J14" s="62"/>
      <c r="K14" s="11"/>
      <c r="L14" s="17"/>
      <c r="M14" s="33"/>
      <c r="N14" s="34"/>
    </row>
    <row r="15" spans="1:14" ht="18" customHeight="1" x14ac:dyDescent="0.25">
      <c r="B15" s="6" t="s">
        <v>19</v>
      </c>
      <c r="C15" s="51"/>
      <c r="D15" s="52"/>
      <c r="E15" s="51" t="s">
        <v>19</v>
      </c>
      <c r="F15" s="52"/>
      <c r="G15" s="51"/>
      <c r="H15" s="52"/>
      <c r="I15" s="59" t="s">
        <v>19</v>
      </c>
      <c r="J15" s="60"/>
      <c r="K15" s="13"/>
      <c r="L15" s="19"/>
      <c r="M15" s="35"/>
      <c r="N15" s="36"/>
    </row>
    <row r="16" spans="1:14" ht="18" customHeight="1" x14ac:dyDescent="0.25">
      <c r="B16" s="8"/>
      <c r="C16" s="53" t="s">
        <v>20</v>
      </c>
      <c r="D16" s="54"/>
      <c r="E16" s="53"/>
      <c r="F16" s="54"/>
      <c r="G16" s="53" t="s">
        <v>20</v>
      </c>
      <c r="H16" s="54"/>
      <c r="I16" s="63"/>
      <c r="J16" s="64"/>
      <c r="K16" s="31" t="s">
        <v>15</v>
      </c>
      <c r="L16" s="16"/>
      <c r="M16" s="37"/>
      <c r="N16" s="38"/>
    </row>
    <row r="17" spans="2:14" ht="18" customHeight="1" x14ac:dyDescent="0.25">
      <c r="B17" s="6"/>
      <c r="C17" s="51" t="s">
        <v>21</v>
      </c>
      <c r="D17" s="52"/>
      <c r="E17" s="51"/>
      <c r="F17" s="52"/>
      <c r="G17" s="51" t="s">
        <v>21</v>
      </c>
      <c r="H17" s="52"/>
      <c r="I17" s="59"/>
      <c r="J17" s="60"/>
      <c r="K17" s="32"/>
      <c r="L17" s="17"/>
      <c r="M17" s="33"/>
      <c r="N17" s="34"/>
    </row>
    <row r="18" spans="2:14" ht="18" customHeight="1" x14ac:dyDescent="0.25">
      <c r="B18" s="9" t="s">
        <v>22</v>
      </c>
      <c r="C18" s="55"/>
      <c r="D18" s="56"/>
      <c r="E18" s="55" t="s">
        <v>22</v>
      </c>
      <c r="F18" s="56"/>
      <c r="G18" s="55"/>
      <c r="H18" s="56"/>
      <c r="I18" s="55" t="s">
        <v>22</v>
      </c>
      <c r="J18" s="61"/>
      <c r="K18" s="32"/>
      <c r="L18" s="17"/>
      <c r="M18" s="33"/>
      <c r="N18" s="34"/>
    </row>
    <row r="19" spans="2:14" ht="18" customHeight="1" x14ac:dyDescent="0.25">
      <c r="B19" s="6" t="s">
        <v>23</v>
      </c>
      <c r="C19" s="51"/>
      <c r="D19" s="52"/>
      <c r="E19" s="51" t="s">
        <v>23</v>
      </c>
      <c r="F19" s="52"/>
      <c r="G19" s="51"/>
      <c r="H19" s="52"/>
      <c r="I19" s="59" t="s">
        <v>23</v>
      </c>
      <c r="J19" s="60"/>
      <c r="K19" s="11"/>
      <c r="L19" s="17"/>
      <c r="M19" s="33"/>
      <c r="N19" s="34"/>
    </row>
    <row r="20" spans="2:14" ht="18" customHeight="1" x14ac:dyDescent="0.25">
      <c r="B20" s="8"/>
      <c r="C20" s="53"/>
      <c r="D20" s="54"/>
      <c r="E20" s="53"/>
      <c r="F20" s="54"/>
      <c r="G20" s="53"/>
      <c r="H20" s="54"/>
      <c r="I20" s="53"/>
      <c r="J20" s="62"/>
      <c r="K20" s="11"/>
      <c r="L20" s="17"/>
      <c r="M20" s="33"/>
      <c r="N20" s="34"/>
    </row>
    <row r="21" spans="2:14" ht="18" customHeight="1" x14ac:dyDescent="0.25">
      <c r="B21" s="6"/>
      <c r="C21" s="51"/>
      <c r="D21" s="52"/>
      <c r="E21" s="51"/>
      <c r="F21" s="52"/>
      <c r="G21" s="51"/>
      <c r="H21" s="52"/>
      <c r="I21" s="65"/>
      <c r="J21" s="66"/>
      <c r="K21" s="13"/>
      <c r="L21" s="19"/>
      <c r="M21" s="35"/>
      <c r="N21" s="36"/>
    </row>
    <row r="22" spans="2:14" ht="18" customHeight="1" x14ac:dyDescent="0.25">
      <c r="B22" s="8"/>
      <c r="C22" s="53"/>
      <c r="D22" s="54"/>
      <c r="E22" s="53"/>
      <c r="F22" s="54"/>
      <c r="G22" s="53"/>
      <c r="H22" s="54"/>
      <c r="I22" s="53"/>
      <c r="J22" s="62"/>
      <c r="K22" s="31" t="s">
        <v>16</v>
      </c>
      <c r="L22" s="16"/>
      <c r="M22" s="37"/>
      <c r="N22" s="38"/>
    </row>
    <row r="23" spans="2:14" ht="18" customHeight="1" x14ac:dyDescent="0.25">
      <c r="B23" s="6"/>
      <c r="C23" s="51"/>
      <c r="D23" s="52"/>
      <c r="E23" s="51"/>
      <c r="F23" s="52"/>
      <c r="G23" s="51"/>
      <c r="H23" s="52"/>
      <c r="I23" s="59"/>
      <c r="J23" s="60"/>
      <c r="K23" s="32"/>
      <c r="L23" s="17"/>
      <c r="M23" s="33"/>
      <c r="N23" s="34"/>
    </row>
    <row r="24" spans="2:14" ht="18" customHeight="1" x14ac:dyDescent="0.25">
      <c r="B24" s="8"/>
      <c r="C24" s="53"/>
      <c r="D24" s="54"/>
      <c r="E24" s="53"/>
      <c r="F24" s="54"/>
      <c r="G24" s="53"/>
      <c r="H24" s="54"/>
      <c r="I24" s="53"/>
      <c r="J24" s="62"/>
      <c r="K24" s="32"/>
      <c r="L24" s="17"/>
      <c r="M24" s="33"/>
      <c r="N24" s="34"/>
    </row>
    <row r="25" spans="2:14" ht="18" customHeight="1" x14ac:dyDescent="0.25">
      <c r="B25" s="6"/>
      <c r="C25" s="51"/>
      <c r="D25" s="52"/>
      <c r="E25" s="51"/>
      <c r="F25" s="52"/>
      <c r="G25" s="51"/>
      <c r="H25" s="52"/>
      <c r="I25" s="59"/>
      <c r="J25" s="60"/>
      <c r="K25" s="32"/>
      <c r="L25" s="17"/>
      <c r="M25" s="33"/>
      <c r="N25" s="34"/>
    </row>
    <row r="26" spans="2:14" ht="18" customHeight="1" x14ac:dyDescent="0.25">
      <c r="B26" s="8" t="s">
        <v>24</v>
      </c>
      <c r="C26" s="53"/>
      <c r="D26" s="54"/>
      <c r="E26" s="53" t="s">
        <v>24</v>
      </c>
      <c r="F26" s="54"/>
      <c r="G26" s="53"/>
      <c r="H26" s="54"/>
      <c r="I26" s="53" t="s">
        <v>24</v>
      </c>
      <c r="J26" s="62"/>
      <c r="K26" s="11"/>
      <c r="L26" s="17"/>
      <c r="M26" s="33"/>
      <c r="N26" s="34"/>
    </row>
    <row r="27" spans="2:14" ht="18" customHeight="1" x14ac:dyDescent="0.25">
      <c r="B27" s="6" t="s">
        <v>25</v>
      </c>
      <c r="C27" s="51"/>
      <c r="D27" s="52"/>
      <c r="E27" s="51" t="s">
        <v>25</v>
      </c>
      <c r="F27" s="52"/>
      <c r="G27" s="51"/>
      <c r="H27" s="52"/>
      <c r="I27" s="59" t="s">
        <v>25</v>
      </c>
      <c r="J27" s="60"/>
      <c r="K27" s="13"/>
      <c r="L27" s="19"/>
      <c r="M27" s="35"/>
      <c r="N27" s="36"/>
    </row>
    <row r="28" spans="2:14" ht="18" customHeight="1" x14ac:dyDescent="0.25">
      <c r="B28" s="8"/>
      <c r="C28" s="53"/>
      <c r="D28" s="54"/>
      <c r="E28" s="53"/>
      <c r="F28" s="54"/>
      <c r="G28" s="53"/>
      <c r="H28" s="54"/>
      <c r="I28" s="53"/>
      <c r="J28" s="62"/>
      <c r="K28" s="31" t="s">
        <v>17</v>
      </c>
      <c r="L28" s="16"/>
      <c r="M28" s="37"/>
      <c r="N28" s="38"/>
    </row>
    <row r="29" spans="2:14" ht="18" customHeight="1" x14ac:dyDescent="0.25">
      <c r="B29" s="6"/>
      <c r="C29" s="51"/>
      <c r="D29" s="52"/>
      <c r="E29" s="51"/>
      <c r="F29" s="52"/>
      <c r="G29" s="51"/>
      <c r="H29" s="52"/>
      <c r="I29" s="51"/>
      <c r="J29" s="67"/>
      <c r="K29" s="32"/>
      <c r="L29" s="17"/>
      <c r="M29" s="33"/>
      <c r="N29" s="34"/>
    </row>
    <row r="30" spans="2:14" ht="18" customHeight="1" x14ac:dyDescent="0.25">
      <c r="B30" s="8"/>
      <c r="C30" s="53" t="s">
        <v>26</v>
      </c>
      <c r="D30" s="54"/>
      <c r="E30" s="53"/>
      <c r="F30" s="54"/>
      <c r="G30" s="53" t="s">
        <v>26</v>
      </c>
      <c r="H30" s="54"/>
      <c r="I30" s="75"/>
      <c r="J30" s="76"/>
      <c r="K30" s="32"/>
      <c r="L30" s="17"/>
      <c r="M30" s="33"/>
      <c r="N30" s="34"/>
    </row>
    <row r="31" spans="2:14" ht="18" customHeight="1" x14ac:dyDescent="0.25">
      <c r="B31" s="6"/>
      <c r="C31" s="51" t="s">
        <v>27</v>
      </c>
      <c r="D31" s="52"/>
      <c r="E31" s="51"/>
      <c r="F31" s="52"/>
      <c r="G31" s="51" t="s">
        <v>27</v>
      </c>
      <c r="H31" s="52"/>
      <c r="I31" s="51"/>
      <c r="J31" s="67"/>
      <c r="K31" s="14"/>
      <c r="L31" s="17"/>
      <c r="M31" s="33"/>
      <c r="N31" s="34"/>
    </row>
    <row r="32" spans="2:14" ht="18" customHeight="1" x14ac:dyDescent="0.25">
      <c r="B32" s="8"/>
      <c r="C32" s="53"/>
      <c r="D32" s="54"/>
      <c r="E32" s="53"/>
      <c r="F32" s="54"/>
      <c r="G32" s="53"/>
      <c r="H32" s="54"/>
      <c r="I32" s="63"/>
      <c r="J32" s="64"/>
      <c r="K32" s="14"/>
      <c r="L32" s="17"/>
      <c r="M32" s="33"/>
      <c r="N32" s="34"/>
    </row>
    <row r="33" spans="2:14" ht="18" customHeight="1" x14ac:dyDescent="0.25">
      <c r="B33" s="7"/>
      <c r="C33" s="57"/>
      <c r="D33" s="58"/>
      <c r="E33" s="57"/>
      <c r="F33" s="58"/>
      <c r="G33" s="57"/>
      <c r="H33" s="58"/>
      <c r="I33" s="77"/>
      <c r="J33" s="78"/>
      <c r="K33" s="15"/>
      <c r="L33" s="20"/>
      <c r="M33" s="73"/>
      <c r="N33" s="74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conditionalFormatting sqref="C4:H4">
    <cfRule type="expression" dxfId="23" priority="3" stopIfTrue="1">
      <formula>DAY(C4)&gt;8</formula>
    </cfRule>
  </conditionalFormatting>
  <conditionalFormatting sqref="C8:I10">
    <cfRule type="expression" dxfId="22" priority="2" stopIfTrue="1">
      <formula>AND(DAY(C8)&gt;=1,DAY(C8)&lt;=15)</formula>
    </cfRule>
  </conditionalFormatting>
  <conditionalFormatting sqref="C4:I9">
    <cfRule type="expression" dxfId="21" priority="4">
      <formula>VLOOKUP(DAY(C4),HausaufgabenTage,1,FALSE)=DAY(C4)</formula>
    </cfRule>
  </conditionalFormatting>
  <conditionalFormatting sqref="B14:J33">
    <cfRule type="expression" dxfId="20" priority="1">
      <formula>B14&lt;&gt;""</formula>
    </cfRule>
  </conditionalFormatting>
  <printOptions horizontalCentered="1" verticalCentered="1"/>
  <pageMargins left="0.5" right="0.5" top="0.5" bottom="0.5" header="0.3" footer="0.3"/>
  <pageSetup paperSize="9" scale="9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4"/>
    <pageSetUpPr fitToPage="1"/>
  </sheetPr>
  <dimension ref="A1:O33"/>
  <sheetViews>
    <sheetView showGridLines="0" zoomScaleNormal="100" zoomScalePageLayoutView="84" workbookViewId="0"/>
  </sheetViews>
  <sheetFormatPr defaultColWidth="8.6640625" defaultRowHeight="16.5" customHeight="1" x14ac:dyDescent="0.25"/>
  <cols>
    <col min="1" max="1" width="2.33203125" style="1" customWidth="1"/>
    <col min="2" max="2" width="12.6640625" style="1" customWidth="1"/>
    <col min="3" max="4" width="7.33203125" style="1" customWidth="1"/>
    <col min="5" max="6" width="6.6640625" style="1" customWidth="1"/>
    <col min="7" max="8" width="7.33203125" style="1" customWidth="1"/>
    <col min="9" max="10" width="6.6640625" style="1" customWidth="1"/>
    <col min="11" max="11" width="7.33203125" style="1" customWidth="1"/>
    <col min="12" max="12" width="3.88671875" customWidth="1"/>
    <col min="13" max="13" width="51.44140625" style="1" customWidth="1"/>
    <col min="14" max="14" width="10.6640625" style="1" customWidth="1"/>
    <col min="15" max="15" width="2.33203125" customWidth="1"/>
    <col min="16" max="16" width="40.6640625" style="1" customWidth="1"/>
    <col min="17" max="16384" width="8.6640625" style="1"/>
  </cols>
  <sheetData>
    <row r="1" spans="1:14" ht="11.25" customHeight="1" x14ac:dyDescent="0.25"/>
    <row r="2" spans="1:14" ht="18" customHeight="1" x14ac:dyDescent="0.25">
      <c r="A2" s="4"/>
      <c r="B2" s="29"/>
      <c r="C2" s="21"/>
      <c r="D2" s="21"/>
      <c r="E2" s="21"/>
      <c r="F2" s="21"/>
      <c r="G2" s="21"/>
      <c r="H2" s="21"/>
      <c r="I2" s="21"/>
      <c r="J2" s="22"/>
      <c r="K2" s="42" t="s">
        <v>0</v>
      </c>
      <c r="L2" s="43">
        <v>2013</v>
      </c>
      <c r="M2" s="43"/>
      <c r="N2" s="79">
        <f>KalenderJahr</f>
        <v>2016</v>
      </c>
    </row>
    <row r="3" spans="1:14" ht="21" customHeight="1" x14ac:dyDescent="0.25">
      <c r="A3" s="4"/>
      <c r="B3" s="68" t="s">
        <v>34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5"/>
      <c r="K3" s="44"/>
      <c r="L3" s="45"/>
      <c r="M3" s="45"/>
      <c r="N3" s="80"/>
    </row>
    <row r="4" spans="1:14" ht="18" customHeight="1" x14ac:dyDescent="0.25">
      <c r="A4" s="4"/>
      <c r="B4" s="68"/>
      <c r="C4" s="10">
        <f>IF(DAY(AugSo1)=1,AugSo1-6,AugSo1+1)</f>
        <v>42583</v>
      </c>
      <c r="D4" s="10">
        <f>IF(DAY(AugSo1)=1,AugSo1-5,AugSo1+2)</f>
        <v>42584</v>
      </c>
      <c r="E4" s="10">
        <f>IF(DAY(AugSo1)=1,AugSo1-4,AugSo1+3)</f>
        <v>42585</v>
      </c>
      <c r="F4" s="10">
        <f>IF(DAY(AugSo1)=1,AugSo1-3,AugSo1+4)</f>
        <v>42586</v>
      </c>
      <c r="G4" s="10">
        <f>IF(DAY(AugSo1)=1,AugSo1-2,AugSo1+5)</f>
        <v>42587</v>
      </c>
      <c r="H4" s="10">
        <f>IF(DAY(AugSo1)=1,AugSo1-1,AugSo1+6)</f>
        <v>42588</v>
      </c>
      <c r="I4" s="10">
        <f>IF(DAY(AugSo1)=1,AugSo1,AugSo1+7)</f>
        <v>42589</v>
      </c>
      <c r="J4" s="5"/>
      <c r="K4" s="46" t="s">
        <v>10</v>
      </c>
      <c r="L4" s="16"/>
      <c r="M4" s="47"/>
      <c r="N4" s="48"/>
    </row>
    <row r="5" spans="1:14" ht="18" customHeight="1" x14ac:dyDescent="0.25">
      <c r="A5" s="4"/>
      <c r="B5" s="27"/>
      <c r="C5" s="10">
        <f>IF(DAY(AugSo1)=1,AugSo1+1,AugSo1+8)</f>
        <v>42590</v>
      </c>
      <c r="D5" s="10">
        <f>IF(DAY(AugSo1)=1,AugSo1+2,AugSo1+9)</f>
        <v>42591</v>
      </c>
      <c r="E5" s="10">
        <f>IF(DAY(AugSo1)=1,AugSo1+3,AugSo1+10)</f>
        <v>42592</v>
      </c>
      <c r="F5" s="10">
        <f>IF(DAY(AugSo1)=1,AugSo1+4,AugSo1+11)</f>
        <v>42593</v>
      </c>
      <c r="G5" s="10">
        <f>IF(DAY(AugSo1)=1,AugSo1+5,AugSo1+12)</f>
        <v>42594</v>
      </c>
      <c r="H5" s="10">
        <f>IF(DAY(AugSo1)=1,AugSo1+6,AugSo1+13)</f>
        <v>42595</v>
      </c>
      <c r="I5" s="10">
        <f>IF(DAY(AugSo1)=1,AugSo1+7,AugSo1+14)</f>
        <v>42596</v>
      </c>
      <c r="J5" s="5"/>
      <c r="K5" s="32"/>
      <c r="L5" s="17"/>
      <c r="M5" s="33"/>
      <c r="N5" s="34"/>
    </row>
    <row r="6" spans="1:14" ht="18" customHeight="1" x14ac:dyDescent="0.25">
      <c r="A6" s="4"/>
      <c r="B6" s="27"/>
      <c r="C6" s="10">
        <f>IF(DAY(AugSo1)=1,AugSo1+8,AugSo1+15)</f>
        <v>42597</v>
      </c>
      <c r="D6" s="10">
        <f>IF(DAY(AugSo1)=1,AugSo1+9,AugSo1+16)</f>
        <v>42598</v>
      </c>
      <c r="E6" s="10">
        <f>IF(DAY(AugSo1)=1,AugSo1+10,AugSo1+17)</f>
        <v>42599</v>
      </c>
      <c r="F6" s="10">
        <f>IF(DAY(AugSo1)=1,AugSo1+11,AugSo1+18)</f>
        <v>42600</v>
      </c>
      <c r="G6" s="10">
        <f>IF(DAY(AugSo1)=1,AugSo1+12,AugSo1+19)</f>
        <v>42601</v>
      </c>
      <c r="H6" s="10">
        <f>IF(DAY(AugSo1)=1,AugSo1+13,AugSo1+20)</f>
        <v>42602</v>
      </c>
      <c r="I6" s="10">
        <f>IF(DAY(AugSo1)=1,AugSo1+14,AugSo1+21)</f>
        <v>42603</v>
      </c>
      <c r="J6" s="5"/>
      <c r="K6" s="32"/>
      <c r="L6" s="17"/>
      <c r="M6" s="33"/>
      <c r="N6" s="34"/>
    </row>
    <row r="7" spans="1:14" ht="18" customHeight="1" x14ac:dyDescent="0.25">
      <c r="A7" s="4"/>
      <c r="B7" s="27"/>
      <c r="C7" s="10">
        <f>IF(DAY(AugSo1)=1,AugSo1+15,AugSo1+22)</f>
        <v>42604</v>
      </c>
      <c r="D7" s="10">
        <f>IF(DAY(AugSo1)=1,AugSo1+16,AugSo1+23)</f>
        <v>42605</v>
      </c>
      <c r="E7" s="10">
        <f>IF(DAY(AugSo1)=1,AugSo1+17,AugSo1+24)</f>
        <v>42606</v>
      </c>
      <c r="F7" s="10">
        <f>IF(DAY(AugSo1)=1,AugSo1+18,AugSo1+25)</f>
        <v>42607</v>
      </c>
      <c r="G7" s="10">
        <f>IF(DAY(AugSo1)=1,AugSo1+19,AugSo1+26)</f>
        <v>42608</v>
      </c>
      <c r="H7" s="10">
        <f>IF(DAY(AugSo1)=1,AugSo1+20,AugSo1+27)</f>
        <v>42609</v>
      </c>
      <c r="I7" s="10">
        <f>IF(DAY(AugSo1)=1,AugSo1+21,AugSo1+28)</f>
        <v>42610</v>
      </c>
      <c r="J7" s="5"/>
      <c r="K7" s="11"/>
      <c r="L7" s="17"/>
      <c r="M7" s="33"/>
      <c r="N7" s="34"/>
    </row>
    <row r="8" spans="1:14" ht="18.75" customHeight="1" x14ac:dyDescent="0.25">
      <c r="A8" s="4"/>
      <c r="B8" s="27"/>
      <c r="C8" s="10">
        <f>IF(DAY(AugSo1)=1,AugSo1+22,AugSo1+29)</f>
        <v>42611</v>
      </c>
      <c r="D8" s="10">
        <f>IF(DAY(AugSo1)=1,AugSo1+23,AugSo1+30)</f>
        <v>42612</v>
      </c>
      <c r="E8" s="10">
        <f>IF(DAY(AugSo1)=1,AugSo1+24,AugSo1+31)</f>
        <v>42613</v>
      </c>
      <c r="F8" s="10">
        <f>IF(DAY(AugSo1)=1,AugSo1+25,AugSo1+32)</f>
        <v>42614</v>
      </c>
      <c r="G8" s="10">
        <f>IF(DAY(AugSo1)=1,AugSo1+26,AugSo1+33)</f>
        <v>42615</v>
      </c>
      <c r="H8" s="10">
        <f>IF(DAY(AugSo1)=1,AugSo1+27,AugSo1+34)</f>
        <v>42616</v>
      </c>
      <c r="I8" s="10">
        <f>IF(DAY(AugSo1)=1,AugSo1+28,AugSo1+35)</f>
        <v>42617</v>
      </c>
      <c r="J8" s="5"/>
      <c r="K8" s="11"/>
      <c r="L8" s="17"/>
      <c r="M8" s="33"/>
      <c r="N8" s="34"/>
    </row>
    <row r="9" spans="1:14" ht="18" customHeight="1" x14ac:dyDescent="0.25">
      <c r="A9" s="4"/>
      <c r="B9" s="27"/>
      <c r="C9" s="10">
        <f>IF(DAY(AugSo1)=1,AugSo1+29,AugSo1+36)</f>
        <v>42618</v>
      </c>
      <c r="D9" s="10">
        <f>IF(DAY(AugSo1)=1,AugSo1+30,AugSo1+37)</f>
        <v>42619</v>
      </c>
      <c r="E9" s="10">
        <f>IF(DAY(AugSo1)=1,AugSo1+31,AugSo1+38)</f>
        <v>42620</v>
      </c>
      <c r="F9" s="10">
        <f>IF(DAY(AugSo1)=1,AugSo1+32,AugSo1+39)</f>
        <v>42621</v>
      </c>
      <c r="G9" s="10">
        <f>IF(DAY(AugSo1)=1,AugSo1+33,AugSo1+40)</f>
        <v>42622</v>
      </c>
      <c r="H9" s="10">
        <f>IF(DAY(AugSo1)=1,AugSo1+34,AugSo1+41)</f>
        <v>42623</v>
      </c>
      <c r="I9" s="10">
        <f>IF(DAY(AugSo1)=1,AugSo1+35,AugSo1+42)</f>
        <v>42624</v>
      </c>
      <c r="J9" s="5"/>
      <c r="K9" s="12"/>
      <c r="L9" s="18"/>
      <c r="M9" s="35"/>
      <c r="N9" s="36"/>
    </row>
    <row r="10" spans="1:14" ht="18" customHeight="1" x14ac:dyDescent="0.25">
      <c r="A10" s="4"/>
      <c r="B10" s="28"/>
      <c r="C10" s="23"/>
      <c r="D10" s="23"/>
      <c r="E10" s="23"/>
      <c r="F10" s="23"/>
      <c r="G10" s="23"/>
      <c r="H10" s="23"/>
      <c r="I10" s="23"/>
      <c r="J10" s="24"/>
      <c r="K10" s="31" t="s">
        <v>12</v>
      </c>
      <c r="L10" s="16"/>
      <c r="M10" s="37"/>
      <c r="N10" s="38"/>
    </row>
    <row r="11" spans="1:14" ht="18" customHeight="1" x14ac:dyDescent="0.25">
      <c r="A11" s="4"/>
      <c r="B11" s="70" t="s">
        <v>14</v>
      </c>
      <c r="C11" s="71"/>
      <c r="D11" s="71"/>
      <c r="E11" s="71"/>
      <c r="F11" s="71"/>
      <c r="G11" s="71"/>
      <c r="H11" s="71"/>
      <c r="I11" s="71"/>
      <c r="J11" s="72"/>
      <c r="K11" s="32"/>
      <c r="L11" s="17"/>
      <c r="M11" s="33"/>
      <c r="N11" s="34"/>
    </row>
    <row r="12" spans="1:14" ht="18" customHeight="1" x14ac:dyDescent="0.25">
      <c r="A12" s="4"/>
      <c r="B12" s="70"/>
      <c r="C12" s="71"/>
      <c r="D12" s="71"/>
      <c r="E12" s="71"/>
      <c r="F12" s="71"/>
      <c r="G12" s="71"/>
      <c r="H12" s="71"/>
      <c r="I12" s="71"/>
      <c r="J12" s="72"/>
      <c r="K12" s="32"/>
      <c r="L12" s="17"/>
      <c r="M12" s="33"/>
      <c r="N12" s="34"/>
    </row>
    <row r="13" spans="1:14" ht="18" customHeight="1" x14ac:dyDescent="0.25">
      <c r="B13" s="3" t="s">
        <v>10</v>
      </c>
      <c r="C13" s="39" t="s">
        <v>12</v>
      </c>
      <c r="D13" s="41"/>
      <c r="E13" s="39" t="s">
        <v>15</v>
      </c>
      <c r="F13" s="41"/>
      <c r="G13" s="39" t="s">
        <v>16</v>
      </c>
      <c r="H13" s="41"/>
      <c r="I13" s="39" t="s">
        <v>17</v>
      </c>
      <c r="J13" s="40"/>
      <c r="K13" s="11"/>
      <c r="L13" s="17"/>
      <c r="M13" s="33"/>
      <c r="N13" s="34"/>
    </row>
    <row r="14" spans="1:14" ht="18" customHeight="1" x14ac:dyDescent="0.25">
      <c r="B14" s="8" t="s">
        <v>18</v>
      </c>
      <c r="C14" s="53"/>
      <c r="D14" s="54"/>
      <c r="E14" s="53" t="s">
        <v>18</v>
      </c>
      <c r="F14" s="54"/>
      <c r="G14" s="53"/>
      <c r="H14" s="54"/>
      <c r="I14" s="53" t="s">
        <v>18</v>
      </c>
      <c r="J14" s="62"/>
      <c r="K14" s="11"/>
      <c r="L14" s="17"/>
      <c r="M14" s="33"/>
      <c r="N14" s="34"/>
    </row>
    <row r="15" spans="1:14" ht="18" customHeight="1" x14ac:dyDescent="0.25">
      <c r="B15" s="6" t="s">
        <v>19</v>
      </c>
      <c r="C15" s="51"/>
      <c r="D15" s="52"/>
      <c r="E15" s="51" t="s">
        <v>19</v>
      </c>
      <c r="F15" s="52"/>
      <c r="G15" s="51"/>
      <c r="H15" s="52"/>
      <c r="I15" s="59" t="s">
        <v>19</v>
      </c>
      <c r="J15" s="60"/>
      <c r="K15" s="13"/>
      <c r="L15" s="19"/>
      <c r="M15" s="35"/>
      <c r="N15" s="36"/>
    </row>
    <row r="16" spans="1:14" ht="18" customHeight="1" x14ac:dyDescent="0.25">
      <c r="B16" s="8"/>
      <c r="C16" s="53" t="s">
        <v>20</v>
      </c>
      <c r="D16" s="54"/>
      <c r="E16" s="53"/>
      <c r="F16" s="54"/>
      <c r="G16" s="53" t="s">
        <v>20</v>
      </c>
      <c r="H16" s="54"/>
      <c r="I16" s="63"/>
      <c r="J16" s="64"/>
      <c r="K16" s="31" t="s">
        <v>15</v>
      </c>
      <c r="L16" s="16"/>
      <c r="M16" s="37"/>
      <c r="N16" s="38"/>
    </row>
    <row r="17" spans="2:14" ht="18" customHeight="1" x14ac:dyDescent="0.25">
      <c r="B17" s="6"/>
      <c r="C17" s="51" t="s">
        <v>21</v>
      </c>
      <c r="D17" s="52"/>
      <c r="E17" s="51"/>
      <c r="F17" s="52"/>
      <c r="G17" s="51" t="s">
        <v>21</v>
      </c>
      <c r="H17" s="52"/>
      <c r="I17" s="59"/>
      <c r="J17" s="60"/>
      <c r="K17" s="32"/>
      <c r="L17" s="17"/>
      <c r="M17" s="33"/>
      <c r="N17" s="34"/>
    </row>
    <row r="18" spans="2:14" ht="18" customHeight="1" x14ac:dyDescent="0.25">
      <c r="B18" s="9" t="s">
        <v>22</v>
      </c>
      <c r="C18" s="55"/>
      <c r="D18" s="56"/>
      <c r="E18" s="55" t="s">
        <v>22</v>
      </c>
      <c r="F18" s="56"/>
      <c r="G18" s="55"/>
      <c r="H18" s="56"/>
      <c r="I18" s="55" t="s">
        <v>22</v>
      </c>
      <c r="J18" s="61"/>
      <c r="K18" s="32"/>
      <c r="L18" s="17"/>
      <c r="M18" s="33"/>
      <c r="N18" s="34"/>
    </row>
    <row r="19" spans="2:14" ht="18" customHeight="1" x14ac:dyDescent="0.25">
      <c r="B19" s="6" t="s">
        <v>23</v>
      </c>
      <c r="C19" s="51"/>
      <c r="D19" s="52"/>
      <c r="E19" s="51" t="s">
        <v>23</v>
      </c>
      <c r="F19" s="52"/>
      <c r="G19" s="51"/>
      <c r="H19" s="52"/>
      <c r="I19" s="59" t="s">
        <v>23</v>
      </c>
      <c r="J19" s="60"/>
      <c r="K19" s="11"/>
      <c r="L19" s="17"/>
      <c r="M19" s="33"/>
      <c r="N19" s="34"/>
    </row>
    <row r="20" spans="2:14" ht="18" customHeight="1" x14ac:dyDescent="0.25">
      <c r="B20" s="8"/>
      <c r="C20" s="53"/>
      <c r="D20" s="54"/>
      <c r="E20" s="53"/>
      <c r="F20" s="54"/>
      <c r="G20" s="53"/>
      <c r="H20" s="54"/>
      <c r="I20" s="53"/>
      <c r="J20" s="62"/>
      <c r="K20" s="11"/>
      <c r="L20" s="17"/>
      <c r="M20" s="33"/>
      <c r="N20" s="34"/>
    </row>
    <row r="21" spans="2:14" ht="18" customHeight="1" x14ac:dyDescent="0.25">
      <c r="B21" s="6"/>
      <c r="C21" s="51"/>
      <c r="D21" s="52"/>
      <c r="E21" s="51"/>
      <c r="F21" s="52"/>
      <c r="G21" s="51"/>
      <c r="H21" s="52"/>
      <c r="I21" s="65"/>
      <c r="J21" s="66"/>
      <c r="K21" s="13"/>
      <c r="L21" s="19"/>
      <c r="M21" s="35"/>
      <c r="N21" s="36"/>
    </row>
    <row r="22" spans="2:14" ht="18" customHeight="1" x14ac:dyDescent="0.25">
      <c r="B22" s="8"/>
      <c r="C22" s="53"/>
      <c r="D22" s="54"/>
      <c r="E22" s="53"/>
      <c r="F22" s="54"/>
      <c r="G22" s="53"/>
      <c r="H22" s="54"/>
      <c r="I22" s="53"/>
      <c r="J22" s="62"/>
      <c r="K22" s="31" t="s">
        <v>16</v>
      </c>
      <c r="L22" s="16"/>
      <c r="M22" s="37"/>
      <c r="N22" s="38"/>
    </row>
    <row r="23" spans="2:14" ht="18" customHeight="1" x14ac:dyDescent="0.25">
      <c r="B23" s="6"/>
      <c r="C23" s="51"/>
      <c r="D23" s="52"/>
      <c r="E23" s="51"/>
      <c r="F23" s="52"/>
      <c r="G23" s="51"/>
      <c r="H23" s="52"/>
      <c r="I23" s="59"/>
      <c r="J23" s="60"/>
      <c r="K23" s="32"/>
      <c r="L23" s="17"/>
      <c r="M23" s="33"/>
      <c r="N23" s="34"/>
    </row>
    <row r="24" spans="2:14" ht="18" customHeight="1" x14ac:dyDescent="0.25">
      <c r="B24" s="8"/>
      <c r="C24" s="53"/>
      <c r="D24" s="54"/>
      <c r="E24" s="53"/>
      <c r="F24" s="54"/>
      <c r="G24" s="53"/>
      <c r="H24" s="54"/>
      <c r="I24" s="53"/>
      <c r="J24" s="62"/>
      <c r="K24" s="32"/>
      <c r="L24" s="17"/>
      <c r="M24" s="33"/>
      <c r="N24" s="34"/>
    </row>
    <row r="25" spans="2:14" ht="18" customHeight="1" x14ac:dyDescent="0.25">
      <c r="B25" s="6"/>
      <c r="C25" s="51"/>
      <c r="D25" s="52"/>
      <c r="E25" s="51"/>
      <c r="F25" s="52"/>
      <c r="G25" s="51"/>
      <c r="H25" s="52"/>
      <c r="I25" s="59"/>
      <c r="J25" s="60"/>
      <c r="K25" s="32"/>
      <c r="L25" s="17"/>
      <c r="M25" s="33"/>
      <c r="N25" s="34"/>
    </row>
    <row r="26" spans="2:14" ht="18" customHeight="1" x14ac:dyDescent="0.25">
      <c r="B26" s="8" t="s">
        <v>24</v>
      </c>
      <c r="C26" s="53"/>
      <c r="D26" s="54"/>
      <c r="E26" s="53" t="s">
        <v>24</v>
      </c>
      <c r="F26" s="54"/>
      <c r="G26" s="53"/>
      <c r="H26" s="54"/>
      <c r="I26" s="53" t="s">
        <v>24</v>
      </c>
      <c r="J26" s="62"/>
      <c r="K26" s="11"/>
      <c r="L26" s="17"/>
      <c r="M26" s="33"/>
      <c r="N26" s="34"/>
    </row>
    <row r="27" spans="2:14" ht="18" customHeight="1" x14ac:dyDescent="0.25">
      <c r="B27" s="6" t="s">
        <v>25</v>
      </c>
      <c r="C27" s="51"/>
      <c r="D27" s="52"/>
      <c r="E27" s="51" t="s">
        <v>25</v>
      </c>
      <c r="F27" s="52"/>
      <c r="G27" s="51"/>
      <c r="H27" s="52"/>
      <c r="I27" s="59" t="s">
        <v>25</v>
      </c>
      <c r="J27" s="60"/>
      <c r="K27" s="13"/>
      <c r="L27" s="19"/>
      <c r="M27" s="35"/>
      <c r="N27" s="36"/>
    </row>
    <row r="28" spans="2:14" ht="18" customHeight="1" x14ac:dyDescent="0.25">
      <c r="B28" s="8"/>
      <c r="C28" s="53"/>
      <c r="D28" s="54"/>
      <c r="E28" s="53"/>
      <c r="F28" s="54"/>
      <c r="G28" s="53"/>
      <c r="H28" s="54"/>
      <c r="I28" s="53"/>
      <c r="J28" s="62"/>
      <c r="K28" s="31" t="s">
        <v>17</v>
      </c>
      <c r="L28" s="16"/>
      <c r="M28" s="37"/>
      <c r="N28" s="38"/>
    </row>
    <row r="29" spans="2:14" ht="18" customHeight="1" x14ac:dyDescent="0.25">
      <c r="B29" s="6"/>
      <c r="C29" s="51"/>
      <c r="D29" s="52"/>
      <c r="E29" s="51"/>
      <c r="F29" s="52"/>
      <c r="G29" s="51"/>
      <c r="H29" s="52"/>
      <c r="I29" s="51"/>
      <c r="J29" s="67"/>
      <c r="K29" s="32"/>
      <c r="L29" s="17"/>
      <c r="M29" s="33"/>
      <c r="N29" s="34"/>
    </row>
    <row r="30" spans="2:14" ht="18" customHeight="1" x14ac:dyDescent="0.25">
      <c r="B30" s="8"/>
      <c r="C30" s="53" t="s">
        <v>26</v>
      </c>
      <c r="D30" s="54"/>
      <c r="E30" s="53"/>
      <c r="F30" s="54"/>
      <c r="G30" s="53" t="s">
        <v>26</v>
      </c>
      <c r="H30" s="54"/>
      <c r="I30" s="75"/>
      <c r="J30" s="76"/>
      <c r="K30" s="32"/>
      <c r="L30" s="17"/>
      <c r="M30" s="33"/>
      <c r="N30" s="34"/>
    </row>
    <row r="31" spans="2:14" ht="18" customHeight="1" x14ac:dyDescent="0.25">
      <c r="B31" s="6"/>
      <c r="C31" s="51" t="s">
        <v>27</v>
      </c>
      <c r="D31" s="52"/>
      <c r="E31" s="51"/>
      <c r="F31" s="52"/>
      <c r="G31" s="51" t="s">
        <v>27</v>
      </c>
      <c r="H31" s="52"/>
      <c r="I31" s="51"/>
      <c r="J31" s="67"/>
      <c r="K31" s="14"/>
      <c r="L31" s="17"/>
      <c r="M31" s="33"/>
      <c r="N31" s="34"/>
    </row>
    <row r="32" spans="2:14" ht="18" customHeight="1" x14ac:dyDescent="0.25">
      <c r="B32" s="8"/>
      <c r="C32" s="53"/>
      <c r="D32" s="54"/>
      <c r="E32" s="53"/>
      <c r="F32" s="54"/>
      <c r="G32" s="53"/>
      <c r="H32" s="54"/>
      <c r="I32" s="63"/>
      <c r="J32" s="64"/>
      <c r="K32" s="14"/>
      <c r="L32" s="17"/>
      <c r="M32" s="33"/>
      <c r="N32" s="34"/>
    </row>
    <row r="33" spans="2:14" ht="18" customHeight="1" x14ac:dyDescent="0.25">
      <c r="B33" s="7"/>
      <c r="C33" s="57"/>
      <c r="D33" s="58"/>
      <c r="E33" s="57"/>
      <c r="F33" s="58"/>
      <c r="G33" s="57"/>
      <c r="H33" s="58"/>
      <c r="I33" s="77"/>
      <c r="J33" s="78"/>
      <c r="K33" s="15"/>
      <c r="L33" s="20"/>
      <c r="M33" s="73"/>
      <c r="N33" s="74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conditionalFormatting sqref="C4:H4">
    <cfRule type="expression" dxfId="19" priority="3" stopIfTrue="1">
      <formula>DAY(C4)&gt;8</formula>
    </cfRule>
  </conditionalFormatting>
  <conditionalFormatting sqref="C8:I10">
    <cfRule type="expression" dxfId="18" priority="2" stopIfTrue="1">
      <formula>AND(DAY(C8)&gt;=1,DAY(C8)&lt;=15)</formula>
    </cfRule>
  </conditionalFormatting>
  <conditionalFormatting sqref="C4:I9">
    <cfRule type="expression" dxfId="17" priority="4">
      <formula>VLOOKUP(DAY(C4),HausaufgabenTage,1,FALSE)=DAY(C4)</formula>
    </cfRule>
  </conditionalFormatting>
  <conditionalFormatting sqref="B14:J33">
    <cfRule type="expression" dxfId="16" priority="1">
      <formula>B14&lt;&gt;""</formula>
    </cfRule>
  </conditionalFormatting>
  <printOptions horizontalCentered="1" verticalCentered="1"/>
  <pageMargins left="0.5" right="0.5" top="0.5" bottom="0.5" header="0.3" footer="0.3"/>
  <pageSetup paperSize="9" scale="9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4"/>
    <pageSetUpPr fitToPage="1"/>
  </sheetPr>
  <dimension ref="A1:O33"/>
  <sheetViews>
    <sheetView showGridLines="0" zoomScaleNormal="100" zoomScalePageLayoutView="84" workbookViewId="0"/>
  </sheetViews>
  <sheetFormatPr defaultColWidth="8.6640625" defaultRowHeight="16.5" customHeight="1" x14ac:dyDescent="0.25"/>
  <cols>
    <col min="1" max="1" width="2.33203125" style="1" customWidth="1"/>
    <col min="2" max="2" width="12.6640625" style="1" customWidth="1"/>
    <col min="3" max="4" width="7.33203125" style="1" customWidth="1"/>
    <col min="5" max="6" width="6.6640625" style="1" customWidth="1"/>
    <col min="7" max="8" width="7.33203125" style="1" customWidth="1"/>
    <col min="9" max="10" width="6.6640625" style="1" customWidth="1"/>
    <col min="11" max="11" width="7.33203125" style="1" customWidth="1"/>
    <col min="12" max="12" width="3.88671875" customWidth="1"/>
    <col min="13" max="13" width="51.44140625" style="1" customWidth="1"/>
    <col min="14" max="14" width="10.6640625" style="1" customWidth="1"/>
    <col min="15" max="15" width="2.33203125" customWidth="1"/>
    <col min="16" max="16" width="40.6640625" style="1" customWidth="1"/>
    <col min="17" max="16384" width="8.6640625" style="1"/>
  </cols>
  <sheetData>
    <row r="1" spans="1:14" ht="11.25" customHeight="1" x14ac:dyDescent="0.25"/>
    <row r="2" spans="1:14" ht="18" customHeight="1" x14ac:dyDescent="0.25">
      <c r="A2" s="4"/>
      <c r="B2" s="29"/>
      <c r="C2" s="21"/>
      <c r="D2" s="21"/>
      <c r="E2" s="21"/>
      <c r="F2" s="21"/>
      <c r="G2" s="21"/>
      <c r="H2" s="21"/>
      <c r="I2" s="21"/>
      <c r="J2" s="22"/>
      <c r="K2" s="42" t="s">
        <v>0</v>
      </c>
      <c r="L2" s="43">
        <v>2013</v>
      </c>
      <c r="M2" s="43"/>
      <c r="N2" s="79">
        <f>KalenderJahr</f>
        <v>2016</v>
      </c>
    </row>
    <row r="3" spans="1:14" ht="21" customHeight="1" x14ac:dyDescent="0.25">
      <c r="A3" s="4"/>
      <c r="B3" s="68" t="s">
        <v>35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5"/>
      <c r="K3" s="44"/>
      <c r="L3" s="45"/>
      <c r="M3" s="45"/>
      <c r="N3" s="80"/>
    </row>
    <row r="4" spans="1:14" ht="18" customHeight="1" x14ac:dyDescent="0.25">
      <c r="A4" s="4"/>
      <c r="B4" s="68"/>
      <c r="C4" s="10">
        <f>IF(DAY(SepSo1)=1,SepSo1-6,SepSo1+1)</f>
        <v>42611</v>
      </c>
      <c r="D4" s="10">
        <f>IF(DAY(SepSo1)=1,SepSo1-5,SepSo1+2)</f>
        <v>42612</v>
      </c>
      <c r="E4" s="10">
        <f>IF(DAY(SepSo1)=1,SepSo1-4,SepSo1+3)</f>
        <v>42613</v>
      </c>
      <c r="F4" s="10">
        <f>IF(DAY(SepSo1)=1,SepSo1-3,SepSo1+4)</f>
        <v>42614</v>
      </c>
      <c r="G4" s="10">
        <f>IF(DAY(SepSo1)=1,SepSo1-2,SepSo1+5)</f>
        <v>42615</v>
      </c>
      <c r="H4" s="10">
        <f>IF(DAY(SepSo1)=1,SepSo1-1,SepSo1+6)</f>
        <v>42616</v>
      </c>
      <c r="I4" s="10">
        <f>IF(DAY(SepSo1)=1,SepSo1,SepSo1+7)</f>
        <v>42617</v>
      </c>
      <c r="J4" s="5"/>
      <c r="K4" s="46" t="s">
        <v>10</v>
      </c>
      <c r="L4" s="16"/>
      <c r="M4" s="47"/>
      <c r="N4" s="48"/>
    </row>
    <row r="5" spans="1:14" ht="18" customHeight="1" x14ac:dyDescent="0.25">
      <c r="A5" s="4"/>
      <c r="B5" s="27"/>
      <c r="C5" s="10">
        <f>IF(DAY(SepSo1)=1,SepSo1+1,SepSo1+8)</f>
        <v>42618</v>
      </c>
      <c r="D5" s="10">
        <f>IF(DAY(SepSo1)=1,SepSo1+2,SepSo1+9)</f>
        <v>42619</v>
      </c>
      <c r="E5" s="10">
        <f>IF(DAY(SepSo1)=1,SepSo1+3,SepSo1+10)</f>
        <v>42620</v>
      </c>
      <c r="F5" s="10">
        <f>IF(DAY(SepSo1)=1,SepSo1+4,SepSo1+11)</f>
        <v>42621</v>
      </c>
      <c r="G5" s="10">
        <f>IF(DAY(SepSo1)=1,SepSo1+5,SepSo1+12)</f>
        <v>42622</v>
      </c>
      <c r="H5" s="10">
        <f>IF(DAY(SepSo1)=1,SepSo1+6,SepSo1+13)</f>
        <v>42623</v>
      </c>
      <c r="I5" s="10">
        <f>IF(DAY(SepSo1)=1,SepSo1+7,SepSo1+14)</f>
        <v>42624</v>
      </c>
      <c r="J5" s="5"/>
      <c r="K5" s="32"/>
      <c r="L5" s="17"/>
      <c r="M5" s="33"/>
      <c r="N5" s="34"/>
    </row>
    <row r="6" spans="1:14" ht="18" customHeight="1" x14ac:dyDescent="0.25">
      <c r="A6" s="4"/>
      <c r="B6" s="27"/>
      <c r="C6" s="10">
        <f>IF(DAY(SepSo1)=1,SepSo1+8,SepSo1+15)</f>
        <v>42625</v>
      </c>
      <c r="D6" s="10">
        <f>IF(DAY(SepSo1)=1,SepSo1+9,SepSo1+16)</f>
        <v>42626</v>
      </c>
      <c r="E6" s="10">
        <f>IF(DAY(SepSo1)=1,SepSo1+10,SepSo1+17)</f>
        <v>42627</v>
      </c>
      <c r="F6" s="10">
        <f>IF(DAY(SepSo1)=1,SepSo1+11,SepSo1+18)</f>
        <v>42628</v>
      </c>
      <c r="G6" s="10">
        <f>IF(DAY(SepSo1)=1,SepSo1+12,SepSo1+19)</f>
        <v>42629</v>
      </c>
      <c r="H6" s="10">
        <f>IF(DAY(SepSo1)=1,SepSo1+13,SepSo1+20)</f>
        <v>42630</v>
      </c>
      <c r="I6" s="10">
        <f>IF(DAY(SepSo1)=1,SepSo1+14,SepSo1+21)</f>
        <v>42631</v>
      </c>
      <c r="J6" s="5"/>
      <c r="K6" s="32"/>
      <c r="L6" s="17"/>
      <c r="M6" s="33"/>
      <c r="N6" s="34"/>
    </row>
    <row r="7" spans="1:14" ht="18" customHeight="1" x14ac:dyDescent="0.25">
      <c r="A7" s="4"/>
      <c r="B7" s="27"/>
      <c r="C7" s="10">
        <f>IF(DAY(SepSo1)=1,SepSo1+15,SepSo1+22)</f>
        <v>42632</v>
      </c>
      <c r="D7" s="10">
        <f>IF(DAY(SepSo1)=1,SepSo1+16,SepSo1+23)</f>
        <v>42633</v>
      </c>
      <c r="E7" s="10">
        <f>IF(DAY(SepSo1)=1,SepSo1+17,SepSo1+24)</f>
        <v>42634</v>
      </c>
      <c r="F7" s="10">
        <f>IF(DAY(SepSo1)=1,SepSo1+18,SepSo1+25)</f>
        <v>42635</v>
      </c>
      <c r="G7" s="10">
        <f>IF(DAY(SepSo1)=1,SepSo1+19,SepSo1+26)</f>
        <v>42636</v>
      </c>
      <c r="H7" s="10">
        <f>IF(DAY(SepSo1)=1,SepSo1+20,SepSo1+27)</f>
        <v>42637</v>
      </c>
      <c r="I7" s="10">
        <f>IF(DAY(SepSo1)=1,SepSo1+21,SepSo1+28)</f>
        <v>42638</v>
      </c>
      <c r="J7" s="5"/>
      <c r="K7" s="11"/>
      <c r="L7" s="17"/>
      <c r="M7" s="33"/>
      <c r="N7" s="34"/>
    </row>
    <row r="8" spans="1:14" ht="18.75" customHeight="1" x14ac:dyDescent="0.25">
      <c r="A8" s="4"/>
      <c r="B8" s="27"/>
      <c r="C8" s="10">
        <f>IF(DAY(SepSo1)=1,SepSo1+22,SepSo1+29)</f>
        <v>42639</v>
      </c>
      <c r="D8" s="10">
        <f>IF(DAY(SepSo1)=1,SepSo1+23,SepSo1+30)</f>
        <v>42640</v>
      </c>
      <c r="E8" s="10">
        <f>IF(DAY(SepSo1)=1,SepSo1+24,SepSo1+31)</f>
        <v>42641</v>
      </c>
      <c r="F8" s="10">
        <f>IF(DAY(SepSo1)=1,SepSo1+25,SepSo1+32)</f>
        <v>42642</v>
      </c>
      <c r="G8" s="10">
        <f>IF(DAY(SepSo1)=1,SepSo1+26,SepSo1+33)</f>
        <v>42643</v>
      </c>
      <c r="H8" s="10">
        <f>IF(DAY(SepSo1)=1,SepSo1+27,SepSo1+34)</f>
        <v>42644</v>
      </c>
      <c r="I8" s="10">
        <f>IF(DAY(SepSo1)=1,SepSo1+28,SepSo1+35)</f>
        <v>42645</v>
      </c>
      <c r="J8" s="5"/>
      <c r="K8" s="11"/>
      <c r="L8" s="17"/>
      <c r="M8" s="33"/>
      <c r="N8" s="34"/>
    </row>
    <row r="9" spans="1:14" ht="18" customHeight="1" x14ac:dyDescent="0.25">
      <c r="A9" s="4"/>
      <c r="B9" s="27"/>
      <c r="C9" s="10">
        <f>IF(DAY(SepSo1)=1,SepSo1+29,SepSo1+36)</f>
        <v>42646</v>
      </c>
      <c r="D9" s="10">
        <f>IF(DAY(SepSo1)=1,SepSo1+30,SepSo1+37)</f>
        <v>42647</v>
      </c>
      <c r="E9" s="10">
        <f>IF(DAY(SepSo1)=1,SepSo1+31,SepSo1+38)</f>
        <v>42648</v>
      </c>
      <c r="F9" s="10">
        <f>IF(DAY(SepSo1)=1,SepSo1+32,SepSo1+39)</f>
        <v>42649</v>
      </c>
      <c r="G9" s="10">
        <f>IF(DAY(SepSo1)=1,SepSo1+33,SepSo1+40)</f>
        <v>42650</v>
      </c>
      <c r="H9" s="10">
        <f>IF(DAY(SepSo1)=1,SepSo1+34,SepSo1+41)</f>
        <v>42651</v>
      </c>
      <c r="I9" s="10">
        <f>IF(DAY(SepSo1)=1,SepSo1+35,SepSo1+42)</f>
        <v>42652</v>
      </c>
      <c r="J9" s="5"/>
      <c r="K9" s="12"/>
      <c r="L9" s="18"/>
      <c r="M9" s="35"/>
      <c r="N9" s="36"/>
    </row>
    <row r="10" spans="1:14" ht="18" customHeight="1" x14ac:dyDescent="0.25">
      <c r="A10" s="4"/>
      <c r="B10" s="28"/>
      <c r="C10" s="23"/>
      <c r="D10" s="23"/>
      <c r="E10" s="23"/>
      <c r="F10" s="23"/>
      <c r="G10" s="23"/>
      <c r="H10" s="23"/>
      <c r="I10" s="23"/>
      <c r="J10" s="24"/>
      <c r="K10" s="31" t="s">
        <v>12</v>
      </c>
      <c r="L10" s="16"/>
      <c r="M10" s="37"/>
      <c r="N10" s="38"/>
    </row>
    <row r="11" spans="1:14" ht="18" customHeight="1" x14ac:dyDescent="0.25">
      <c r="A11" s="4"/>
      <c r="B11" s="70" t="s">
        <v>14</v>
      </c>
      <c r="C11" s="71"/>
      <c r="D11" s="71"/>
      <c r="E11" s="71"/>
      <c r="F11" s="71"/>
      <c r="G11" s="71"/>
      <c r="H11" s="71"/>
      <c r="I11" s="71"/>
      <c r="J11" s="72"/>
      <c r="K11" s="32"/>
      <c r="L11" s="17"/>
      <c r="M11" s="33"/>
      <c r="N11" s="34"/>
    </row>
    <row r="12" spans="1:14" ht="18" customHeight="1" x14ac:dyDescent="0.25">
      <c r="A12" s="4"/>
      <c r="B12" s="70"/>
      <c r="C12" s="71"/>
      <c r="D12" s="71"/>
      <c r="E12" s="71"/>
      <c r="F12" s="71"/>
      <c r="G12" s="71"/>
      <c r="H12" s="71"/>
      <c r="I12" s="71"/>
      <c r="J12" s="72"/>
      <c r="K12" s="32"/>
      <c r="L12" s="17"/>
      <c r="M12" s="33"/>
      <c r="N12" s="34"/>
    </row>
    <row r="13" spans="1:14" ht="18" customHeight="1" x14ac:dyDescent="0.25">
      <c r="B13" s="3" t="s">
        <v>10</v>
      </c>
      <c r="C13" s="39" t="s">
        <v>12</v>
      </c>
      <c r="D13" s="41"/>
      <c r="E13" s="39" t="s">
        <v>15</v>
      </c>
      <c r="F13" s="41"/>
      <c r="G13" s="39" t="s">
        <v>16</v>
      </c>
      <c r="H13" s="41"/>
      <c r="I13" s="39" t="s">
        <v>17</v>
      </c>
      <c r="J13" s="40"/>
      <c r="K13" s="11"/>
      <c r="L13" s="17"/>
      <c r="M13" s="33"/>
      <c r="N13" s="34"/>
    </row>
    <row r="14" spans="1:14" ht="18" customHeight="1" x14ac:dyDescent="0.25">
      <c r="B14" s="8" t="s">
        <v>18</v>
      </c>
      <c r="C14" s="53"/>
      <c r="D14" s="54"/>
      <c r="E14" s="53" t="s">
        <v>18</v>
      </c>
      <c r="F14" s="54"/>
      <c r="G14" s="53"/>
      <c r="H14" s="54"/>
      <c r="I14" s="53" t="s">
        <v>18</v>
      </c>
      <c r="J14" s="62"/>
      <c r="K14" s="11"/>
      <c r="L14" s="17"/>
      <c r="M14" s="33"/>
      <c r="N14" s="34"/>
    </row>
    <row r="15" spans="1:14" ht="18" customHeight="1" x14ac:dyDescent="0.25">
      <c r="B15" s="6" t="s">
        <v>19</v>
      </c>
      <c r="C15" s="51"/>
      <c r="D15" s="52"/>
      <c r="E15" s="51" t="s">
        <v>19</v>
      </c>
      <c r="F15" s="52"/>
      <c r="G15" s="51"/>
      <c r="H15" s="52"/>
      <c r="I15" s="59" t="s">
        <v>19</v>
      </c>
      <c r="J15" s="60"/>
      <c r="K15" s="13"/>
      <c r="L15" s="19"/>
      <c r="M15" s="35"/>
      <c r="N15" s="36"/>
    </row>
    <row r="16" spans="1:14" ht="18" customHeight="1" x14ac:dyDescent="0.25">
      <c r="B16" s="8"/>
      <c r="C16" s="53" t="s">
        <v>20</v>
      </c>
      <c r="D16" s="54"/>
      <c r="E16" s="53"/>
      <c r="F16" s="54"/>
      <c r="G16" s="53" t="s">
        <v>20</v>
      </c>
      <c r="H16" s="54"/>
      <c r="I16" s="63"/>
      <c r="J16" s="64"/>
      <c r="K16" s="31" t="s">
        <v>15</v>
      </c>
      <c r="L16" s="16"/>
      <c r="M16" s="37"/>
      <c r="N16" s="38"/>
    </row>
    <row r="17" spans="2:14" ht="18" customHeight="1" x14ac:dyDescent="0.25">
      <c r="B17" s="6"/>
      <c r="C17" s="51" t="s">
        <v>21</v>
      </c>
      <c r="D17" s="52"/>
      <c r="E17" s="51"/>
      <c r="F17" s="52"/>
      <c r="G17" s="51" t="s">
        <v>21</v>
      </c>
      <c r="H17" s="52"/>
      <c r="I17" s="59"/>
      <c r="J17" s="60"/>
      <c r="K17" s="32"/>
      <c r="L17" s="17"/>
      <c r="M17" s="33"/>
      <c r="N17" s="34"/>
    </row>
    <row r="18" spans="2:14" ht="18" customHeight="1" x14ac:dyDescent="0.25">
      <c r="B18" s="9" t="s">
        <v>22</v>
      </c>
      <c r="C18" s="55"/>
      <c r="D18" s="56"/>
      <c r="E18" s="55" t="s">
        <v>22</v>
      </c>
      <c r="F18" s="56"/>
      <c r="G18" s="55"/>
      <c r="H18" s="56"/>
      <c r="I18" s="55" t="s">
        <v>22</v>
      </c>
      <c r="J18" s="61"/>
      <c r="K18" s="32"/>
      <c r="L18" s="17"/>
      <c r="M18" s="33"/>
      <c r="N18" s="34"/>
    </row>
    <row r="19" spans="2:14" ht="18" customHeight="1" x14ac:dyDescent="0.25">
      <c r="B19" s="6" t="s">
        <v>23</v>
      </c>
      <c r="C19" s="51"/>
      <c r="D19" s="52"/>
      <c r="E19" s="51" t="s">
        <v>23</v>
      </c>
      <c r="F19" s="52"/>
      <c r="G19" s="51"/>
      <c r="H19" s="52"/>
      <c r="I19" s="59" t="s">
        <v>23</v>
      </c>
      <c r="J19" s="60"/>
      <c r="K19" s="11"/>
      <c r="L19" s="17"/>
      <c r="M19" s="33"/>
      <c r="N19" s="34"/>
    </row>
    <row r="20" spans="2:14" ht="18" customHeight="1" x14ac:dyDescent="0.25">
      <c r="B20" s="8"/>
      <c r="C20" s="53"/>
      <c r="D20" s="54"/>
      <c r="E20" s="53"/>
      <c r="F20" s="54"/>
      <c r="G20" s="53"/>
      <c r="H20" s="54"/>
      <c r="I20" s="53"/>
      <c r="J20" s="62"/>
      <c r="K20" s="11"/>
      <c r="L20" s="17"/>
      <c r="M20" s="33"/>
      <c r="N20" s="34"/>
    </row>
    <row r="21" spans="2:14" ht="18" customHeight="1" x14ac:dyDescent="0.25">
      <c r="B21" s="6"/>
      <c r="C21" s="51"/>
      <c r="D21" s="52"/>
      <c r="E21" s="51"/>
      <c r="F21" s="52"/>
      <c r="G21" s="51"/>
      <c r="H21" s="52"/>
      <c r="I21" s="65"/>
      <c r="J21" s="66"/>
      <c r="K21" s="13"/>
      <c r="L21" s="19"/>
      <c r="M21" s="35"/>
      <c r="N21" s="36"/>
    </row>
    <row r="22" spans="2:14" ht="18" customHeight="1" x14ac:dyDescent="0.25">
      <c r="B22" s="8"/>
      <c r="C22" s="53"/>
      <c r="D22" s="54"/>
      <c r="E22" s="53"/>
      <c r="F22" s="54"/>
      <c r="G22" s="53"/>
      <c r="H22" s="54"/>
      <c r="I22" s="53"/>
      <c r="J22" s="62"/>
      <c r="K22" s="31" t="s">
        <v>16</v>
      </c>
      <c r="L22" s="16"/>
      <c r="M22" s="37"/>
      <c r="N22" s="38"/>
    </row>
    <row r="23" spans="2:14" ht="18" customHeight="1" x14ac:dyDescent="0.25">
      <c r="B23" s="6"/>
      <c r="C23" s="51"/>
      <c r="D23" s="52"/>
      <c r="E23" s="51"/>
      <c r="F23" s="52"/>
      <c r="G23" s="51"/>
      <c r="H23" s="52"/>
      <c r="I23" s="59"/>
      <c r="J23" s="60"/>
      <c r="K23" s="32"/>
      <c r="L23" s="17"/>
      <c r="M23" s="33"/>
      <c r="N23" s="34"/>
    </row>
    <row r="24" spans="2:14" ht="18" customHeight="1" x14ac:dyDescent="0.25">
      <c r="B24" s="8"/>
      <c r="C24" s="53"/>
      <c r="D24" s="54"/>
      <c r="E24" s="53"/>
      <c r="F24" s="54"/>
      <c r="G24" s="53"/>
      <c r="H24" s="54"/>
      <c r="I24" s="53"/>
      <c r="J24" s="62"/>
      <c r="K24" s="32"/>
      <c r="L24" s="17"/>
      <c r="M24" s="33"/>
      <c r="N24" s="34"/>
    </row>
    <row r="25" spans="2:14" ht="18" customHeight="1" x14ac:dyDescent="0.25">
      <c r="B25" s="6"/>
      <c r="C25" s="51"/>
      <c r="D25" s="52"/>
      <c r="E25" s="51"/>
      <c r="F25" s="52"/>
      <c r="G25" s="51"/>
      <c r="H25" s="52"/>
      <c r="I25" s="59"/>
      <c r="J25" s="60"/>
      <c r="K25" s="32"/>
      <c r="L25" s="17"/>
      <c r="M25" s="33"/>
      <c r="N25" s="34"/>
    </row>
    <row r="26" spans="2:14" ht="18" customHeight="1" x14ac:dyDescent="0.25">
      <c r="B26" s="8" t="s">
        <v>24</v>
      </c>
      <c r="C26" s="53"/>
      <c r="D26" s="54"/>
      <c r="E26" s="53" t="s">
        <v>24</v>
      </c>
      <c r="F26" s="54"/>
      <c r="G26" s="53"/>
      <c r="H26" s="54"/>
      <c r="I26" s="53" t="s">
        <v>24</v>
      </c>
      <c r="J26" s="62"/>
      <c r="K26" s="11"/>
      <c r="L26" s="17"/>
      <c r="M26" s="33"/>
      <c r="N26" s="34"/>
    </row>
    <row r="27" spans="2:14" ht="18" customHeight="1" x14ac:dyDescent="0.25">
      <c r="B27" s="6" t="s">
        <v>25</v>
      </c>
      <c r="C27" s="51"/>
      <c r="D27" s="52"/>
      <c r="E27" s="51" t="s">
        <v>25</v>
      </c>
      <c r="F27" s="52"/>
      <c r="G27" s="51"/>
      <c r="H27" s="52"/>
      <c r="I27" s="59" t="s">
        <v>25</v>
      </c>
      <c r="J27" s="60"/>
      <c r="K27" s="13"/>
      <c r="L27" s="19"/>
      <c r="M27" s="35"/>
      <c r="N27" s="36"/>
    </row>
    <row r="28" spans="2:14" ht="18" customHeight="1" x14ac:dyDescent="0.25">
      <c r="B28" s="8"/>
      <c r="C28" s="53"/>
      <c r="D28" s="54"/>
      <c r="E28" s="53"/>
      <c r="F28" s="54"/>
      <c r="G28" s="53"/>
      <c r="H28" s="54"/>
      <c r="I28" s="53"/>
      <c r="J28" s="62"/>
      <c r="K28" s="31" t="s">
        <v>17</v>
      </c>
      <c r="L28" s="16"/>
      <c r="M28" s="37"/>
      <c r="N28" s="38"/>
    </row>
    <row r="29" spans="2:14" ht="18" customHeight="1" x14ac:dyDescent="0.25">
      <c r="B29" s="6"/>
      <c r="C29" s="51"/>
      <c r="D29" s="52"/>
      <c r="E29" s="51"/>
      <c r="F29" s="52"/>
      <c r="G29" s="51"/>
      <c r="H29" s="52"/>
      <c r="I29" s="51"/>
      <c r="J29" s="67"/>
      <c r="K29" s="32"/>
      <c r="L29" s="17"/>
      <c r="M29" s="33"/>
      <c r="N29" s="34"/>
    </row>
    <row r="30" spans="2:14" ht="18" customHeight="1" x14ac:dyDescent="0.25">
      <c r="B30" s="8"/>
      <c r="C30" s="53" t="s">
        <v>26</v>
      </c>
      <c r="D30" s="54"/>
      <c r="E30" s="53"/>
      <c r="F30" s="54"/>
      <c r="G30" s="53" t="s">
        <v>26</v>
      </c>
      <c r="H30" s="54"/>
      <c r="I30" s="75"/>
      <c r="J30" s="76"/>
      <c r="K30" s="32"/>
      <c r="L30" s="17"/>
      <c r="M30" s="33"/>
      <c r="N30" s="34"/>
    </row>
    <row r="31" spans="2:14" ht="18" customHeight="1" x14ac:dyDescent="0.25">
      <c r="B31" s="6"/>
      <c r="C31" s="51" t="s">
        <v>27</v>
      </c>
      <c r="D31" s="52"/>
      <c r="E31" s="51"/>
      <c r="F31" s="52"/>
      <c r="G31" s="51" t="s">
        <v>27</v>
      </c>
      <c r="H31" s="52"/>
      <c r="I31" s="51"/>
      <c r="J31" s="67"/>
      <c r="K31" s="14"/>
      <c r="L31" s="17"/>
      <c r="M31" s="33"/>
      <c r="N31" s="34"/>
    </row>
    <row r="32" spans="2:14" ht="18" customHeight="1" x14ac:dyDescent="0.25">
      <c r="B32" s="8"/>
      <c r="C32" s="53"/>
      <c r="D32" s="54"/>
      <c r="E32" s="53"/>
      <c r="F32" s="54"/>
      <c r="G32" s="53"/>
      <c r="H32" s="54"/>
      <c r="I32" s="63"/>
      <c r="J32" s="64"/>
      <c r="K32" s="14"/>
      <c r="L32" s="17"/>
      <c r="M32" s="33"/>
      <c r="N32" s="34"/>
    </row>
    <row r="33" spans="2:14" ht="18" customHeight="1" x14ac:dyDescent="0.25">
      <c r="B33" s="7"/>
      <c r="C33" s="57"/>
      <c r="D33" s="58"/>
      <c r="E33" s="57"/>
      <c r="F33" s="58"/>
      <c r="G33" s="57"/>
      <c r="H33" s="58"/>
      <c r="I33" s="77"/>
      <c r="J33" s="78"/>
      <c r="K33" s="15"/>
      <c r="L33" s="20"/>
      <c r="M33" s="73"/>
      <c r="N33" s="74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conditionalFormatting sqref="C4:H4">
    <cfRule type="expression" dxfId="15" priority="3" stopIfTrue="1">
      <formula>DAY(C4)&gt;8</formula>
    </cfRule>
  </conditionalFormatting>
  <conditionalFormatting sqref="C8:I10">
    <cfRule type="expression" dxfId="14" priority="2" stopIfTrue="1">
      <formula>AND(DAY(C8)&gt;=1,DAY(C8)&lt;=15)</formula>
    </cfRule>
  </conditionalFormatting>
  <conditionalFormatting sqref="C4:I9">
    <cfRule type="expression" dxfId="13" priority="4">
      <formula>VLOOKUP(DAY(C4),HausaufgabenTage,1,FALSE)=DAY(C4)</formula>
    </cfRule>
  </conditionalFormatting>
  <conditionalFormatting sqref="B14:J33">
    <cfRule type="expression" dxfId="12" priority="1">
      <formula>B14&lt;&gt;""</formula>
    </cfRule>
  </conditionalFormatting>
  <printOptions horizontalCentered="1" verticalCentered="1"/>
  <pageMargins left="0.5" right="0.5" top="0.5" bottom="0.5" header="0.3" footer="0.3"/>
  <pageSetup paperSize="9" scale="9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4"/>
    <pageSetUpPr fitToPage="1"/>
  </sheetPr>
  <dimension ref="A1:O33"/>
  <sheetViews>
    <sheetView showGridLines="0" zoomScaleNormal="100" zoomScalePageLayoutView="84" workbookViewId="0"/>
  </sheetViews>
  <sheetFormatPr defaultColWidth="8.6640625" defaultRowHeight="16.5" customHeight="1" x14ac:dyDescent="0.25"/>
  <cols>
    <col min="1" max="1" width="2.33203125" style="1" customWidth="1"/>
    <col min="2" max="2" width="12.6640625" style="1" customWidth="1"/>
    <col min="3" max="4" width="7.33203125" style="1" customWidth="1"/>
    <col min="5" max="6" width="6.6640625" style="1" customWidth="1"/>
    <col min="7" max="8" width="7.33203125" style="1" customWidth="1"/>
    <col min="9" max="10" width="6.6640625" style="1" customWidth="1"/>
    <col min="11" max="11" width="7.33203125" style="1" customWidth="1"/>
    <col min="12" max="12" width="3.88671875" customWidth="1"/>
    <col min="13" max="13" width="51.44140625" style="1" customWidth="1"/>
    <col min="14" max="14" width="10.6640625" style="1" customWidth="1"/>
    <col min="15" max="15" width="2.33203125" customWidth="1"/>
    <col min="16" max="16" width="40.6640625" style="1" customWidth="1"/>
    <col min="17" max="16384" width="8.6640625" style="1"/>
  </cols>
  <sheetData>
    <row r="1" spans="1:14" ht="11.25" customHeight="1" x14ac:dyDescent="0.25"/>
    <row r="2" spans="1:14" ht="18" customHeight="1" x14ac:dyDescent="0.25">
      <c r="A2" s="4"/>
      <c r="B2" s="29"/>
      <c r="C2" s="21"/>
      <c r="D2" s="21"/>
      <c r="E2" s="21"/>
      <c r="F2" s="21"/>
      <c r="G2" s="21"/>
      <c r="H2" s="21"/>
      <c r="I2" s="21"/>
      <c r="J2" s="22"/>
      <c r="K2" s="42" t="s">
        <v>0</v>
      </c>
      <c r="L2" s="43">
        <v>2013</v>
      </c>
      <c r="M2" s="43"/>
      <c r="N2" s="79">
        <f>KalenderJahr</f>
        <v>2016</v>
      </c>
    </row>
    <row r="3" spans="1:14" ht="21" customHeight="1" x14ac:dyDescent="0.25">
      <c r="A3" s="4"/>
      <c r="B3" s="68" t="s">
        <v>36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5"/>
      <c r="K3" s="44"/>
      <c r="L3" s="45"/>
      <c r="M3" s="45"/>
      <c r="N3" s="80"/>
    </row>
    <row r="4" spans="1:14" ht="18" customHeight="1" x14ac:dyDescent="0.25">
      <c r="A4" s="4"/>
      <c r="B4" s="68"/>
      <c r="C4" s="10">
        <f>IF(DAY(OktSo1)=1,OktSo1-6,OktSo1+1)</f>
        <v>42639</v>
      </c>
      <c r="D4" s="10">
        <f>IF(DAY(OktSo1)=1,OktSo1-5,OktSo1+2)</f>
        <v>42640</v>
      </c>
      <c r="E4" s="10">
        <f>IF(DAY(OktSo1)=1,OktSo1-4,OktSo1+3)</f>
        <v>42641</v>
      </c>
      <c r="F4" s="10">
        <f>IF(DAY(OktSo1)=1,OktSo1-3,OktSo1+4)</f>
        <v>42642</v>
      </c>
      <c r="G4" s="10">
        <f>IF(DAY(OktSo1)=1,OktSo1-2,OktSo1+5)</f>
        <v>42643</v>
      </c>
      <c r="H4" s="10">
        <f>IF(DAY(OktSo1)=1,OktSo1-1,OktSo1+6)</f>
        <v>42644</v>
      </c>
      <c r="I4" s="10">
        <f>IF(DAY(OktSo1)=1,OktSo1,OktSo1+7)</f>
        <v>42645</v>
      </c>
      <c r="J4" s="5"/>
      <c r="K4" s="46" t="s">
        <v>10</v>
      </c>
      <c r="L4" s="16"/>
      <c r="M4" s="47"/>
      <c r="N4" s="48"/>
    </row>
    <row r="5" spans="1:14" ht="18" customHeight="1" x14ac:dyDescent="0.25">
      <c r="A5" s="4"/>
      <c r="B5" s="27"/>
      <c r="C5" s="10">
        <f>IF(DAY(OktSo1)=1,OktSo1+1,OktSo1+8)</f>
        <v>42646</v>
      </c>
      <c r="D5" s="10">
        <f>IF(DAY(OktSo1)=1,OktSo1+2,OktSo1+9)</f>
        <v>42647</v>
      </c>
      <c r="E5" s="10">
        <f>IF(DAY(OktSo1)=1,OktSo1+3,OktSo1+10)</f>
        <v>42648</v>
      </c>
      <c r="F5" s="10">
        <f>IF(DAY(OktSo1)=1,OktSo1+4,OktSo1+11)</f>
        <v>42649</v>
      </c>
      <c r="G5" s="10">
        <f>IF(DAY(OktSo1)=1,OktSo1+5,OktSo1+12)</f>
        <v>42650</v>
      </c>
      <c r="H5" s="10">
        <f>IF(DAY(OktSo1)=1,OktSo1+6,OktSo1+13)</f>
        <v>42651</v>
      </c>
      <c r="I5" s="10">
        <f>IF(DAY(OktSo1)=1,OktSo1+7,OktSo1+14)</f>
        <v>42652</v>
      </c>
      <c r="J5" s="5"/>
      <c r="K5" s="32"/>
      <c r="L5" s="17"/>
      <c r="M5" s="33"/>
      <c r="N5" s="34"/>
    </row>
    <row r="6" spans="1:14" ht="18" customHeight="1" x14ac:dyDescent="0.25">
      <c r="A6" s="4"/>
      <c r="B6" s="27"/>
      <c r="C6" s="10">
        <f>IF(DAY(OktSo1)=1,OktSo1+8,OktSo1+15)</f>
        <v>42653</v>
      </c>
      <c r="D6" s="10">
        <f>IF(DAY(OktSo1)=1,OktSo1+9,OktSo1+16)</f>
        <v>42654</v>
      </c>
      <c r="E6" s="10">
        <f>IF(DAY(OktSo1)=1,OktSo1+10,OktSo1+17)</f>
        <v>42655</v>
      </c>
      <c r="F6" s="10">
        <f>IF(DAY(OktSo1)=1,OktSo1+11,OktSo1+18)</f>
        <v>42656</v>
      </c>
      <c r="G6" s="10">
        <f>IF(DAY(OktSo1)=1,OktSo1+12,OktSo1+19)</f>
        <v>42657</v>
      </c>
      <c r="H6" s="10">
        <f>IF(DAY(OktSo1)=1,OktSo1+13,OktSo1+20)</f>
        <v>42658</v>
      </c>
      <c r="I6" s="10">
        <f>IF(DAY(OktSo1)=1,OktSo1+14,OktSo1+21)</f>
        <v>42659</v>
      </c>
      <c r="J6" s="5"/>
      <c r="K6" s="32"/>
      <c r="L6" s="17"/>
      <c r="M6" s="33"/>
      <c r="N6" s="34"/>
    </row>
    <row r="7" spans="1:14" ht="18" customHeight="1" x14ac:dyDescent="0.25">
      <c r="A7" s="4"/>
      <c r="B7" s="27"/>
      <c r="C7" s="10">
        <f>IF(DAY(OktSo1)=1,OktSo1+15,OktSo1+22)</f>
        <v>42660</v>
      </c>
      <c r="D7" s="10">
        <f>IF(DAY(OktSo1)=1,OktSo1+16,OktSo1+23)</f>
        <v>42661</v>
      </c>
      <c r="E7" s="10">
        <f>IF(DAY(OktSo1)=1,OktSo1+17,OktSo1+24)</f>
        <v>42662</v>
      </c>
      <c r="F7" s="10">
        <f>IF(DAY(OktSo1)=1,OktSo1+18,OktSo1+25)</f>
        <v>42663</v>
      </c>
      <c r="G7" s="10">
        <f>IF(DAY(OktSo1)=1,OktSo1+19,OktSo1+26)</f>
        <v>42664</v>
      </c>
      <c r="H7" s="10">
        <f>IF(DAY(OktSo1)=1,OktSo1+20,OktSo1+27)</f>
        <v>42665</v>
      </c>
      <c r="I7" s="10">
        <f>IF(DAY(OktSo1)=1,OktSo1+21,OktSo1+28)</f>
        <v>42666</v>
      </c>
      <c r="J7" s="5"/>
      <c r="K7" s="11"/>
      <c r="L7" s="17"/>
      <c r="M7" s="33"/>
      <c r="N7" s="34"/>
    </row>
    <row r="8" spans="1:14" ht="18.75" customHeight="1" x14ac:dyDescent="0.25">
      <c r="A8" s="4"/>
      <c r="B8" s="27"/>
      <c r="C8" s="10">
        <f>IF(DAY(OktSo1)=1,OktSo1+22,OktSo1+29)</f>
        <v>42667</v>
      </c>
      <c r="D8" s="10">
        <f>IF(DAY(OktSo1)=1,OktSo1+23,OktSo1+30)</f>
        <v>42668</v>
      </c>
      <c r="E8" s="10">
        <f>IF(DAY(OktSo1)=1,OktSo1+24,OktSo1+31)</f>
        <v>42669</v>
      </c>
      <c r="F8" s="10">
        <f>IF(DAY(OktSo1)=1,OktSo1+25,OktSo1+32)</f>
        <v>42670</v>
      </c>
      <c r="G8" s="10">
        <f>IF(DAY(OktSo1)=1,OktSo1+26,OktSo1+33)</f>
        <v>42671</v>
      </c>
      <c r="H8" s="10">
        <f>IF(DAY(OktSo1)=1,OktSo1+27,OktSo1+34)</f>
        <v>42672</v>
      </c>
      <c r="I8" s="10">
        <f>IF(DAY(OktSo1)=1,OktSo1+28,OktSo1+35)</f>
        <v>42673</v>
      </c>
      <c r="J8" s="5"/>
      <c r="K8" s="11"/>
      <c r="L8" s="17"/>
      <c r="M8" s="33"/>
      <c r="N8" s="34"/>
    </row>
    <row r="9" spans="1:14" ht="18" customHeight="1" x14ac:dyDescent="0.25">
      <c r="A9" s="4"/>
      <c r="B9" s="27"/>
      <c r="C9" s="10">
        <f>IF(DAY(OktSo1)=1,OktSo1+29,OktSo1+36)</f>
        <v>42674</v>
      </c>
      <c r="D9" s="10">
        <f>IF(DAY(OktSo1)=1,OktSo1+30,OktSo1+37)</f>
        <v>42675</v>
      </c>
      <c r="E9" s="10">
        <f>IF(DAY(OktSo1)=1,OktSo1+31,OktSo1+38)</f>
        <v>42676</v>
      </c>
      <c r="F9" s="10">
        <f>IF(DAY(OktSo1)=1,OktSo1+32,OktSo1+39)</f>
        <v>42677</v>
      </c>
      <c r="G9" s="10">
        <f>IF(DAY(OktSo1)=1,OktSo1+33,OktSo1+40)</f>
        <v>42678</v>
      </c>
      <c r="H9" s="10">
        <f>IF(DAY(OktSo1)=1,OktSo1+34,OktSo1+41)</f>
        <v>42679</v>
      </c>
      <c r="I9" s="10">
        <f>IF(DAY(OktSo1)=1,OktSo1+35,OktSo1+42)</f>
        <v>42680</v>
      </c>
      <c r="J9" s="5"/>
      <c r="K9" s="12"/>
      <c r="L9" s="18"/>
      <c r="M9" s="35"/>
      <c r="N9" s="36"/>
    </row>
    <row r="10" spans="1:14" ht="18" customHeight="1" x14ac:dyDescent="0.25">
      <c r="A10" s="4"/>
      <c r="B10" s="28"/>
      <c r="C10" s="23"/>
      <c r="D10" s="23"/>
      <c r="E10" s="23"/>
      <c r="F10" s="23"/>
      <c r="G10" s="23"/>
      <c r="H10" s="23"/>
      <c r="I10" s="23"/>
      <c r="J10" s="24"/>
      <c r="K10" s="31" t="s">
        <v>12</v>
      </c>
      <c r="L10" s="16"/>
      <c r="M10" s="37"/>
      <c r="N10" s="38"/>
    </row>
    <row r="11" spans="1:14" ht="18" customHeight="1" x14ac:dyDescent="0.25">
      <c r="A11" s="4"/>
      <c r="B11" s="70" t="s">
        <v>14</v>
      </c>
      <c r="C11" s="71"/>
      <c r="D11" s="71"/>
      <c r="E11" s="71"/>
      <c r="F11" s="71"/>
      <c r="G11" s="71"/>
      <c r="H11" s="71"/>
      <c r="I11" s="71"/>
      <c r="J11" s="72"/>
      <c r="K11" s="32"/>
      <c r="L11" s="17"/>
      <c r="M11" s="33"/>
      <c r="N11" s="34"/>
    </row>
    <row r="12" spans="1:14" ht="18" customHeight="1" x14ac:dyDescent="0.25">
      <c r="A12" s="4"/>
      <c r="B12" s="70"/>
      <c r="C12" s="71"/>
      <c r="D12" s="71"/>
      <c r="E12" s="71"/>
      <c r="F12" s="71"/>
      <c r="G12" s="71"/>
      <c r="H12" s="71"/>
      <c r="I12" s="71"/>
      <c r="J12" s="72"/>
      <c r="K12" s="32"/>
      <c r="L12" s="17"/>
      <c r="M12" s="33"/>
      <c r="N12" s="34"/>
    </row>
    <row r="13" spans="1:14" ht="18" customHeight="1" x14ac:dyDescent="0.25">
      <c r="B13" s="3" t="s">
        <v>10</v>
      </c>
      <c r="C13" s="39" t="s">
        <v>12</v>
      </c>
      <c r="D13" s="41"/>
      <c r="E13" s="39" t="s">
        <v>15</v>
      </c>
      <c r="F13" s="41"/>
      <c r="G13" s="39" t="s">
        <v>16</v>
      </c>
      <c r="H13" s="41"/>
      <c r="I13" s="39" t="s">
        <v>17</v>
      </c>
      <c r="J13" s="40"/>
      <c r="K13" s="11"/>
      <c r="L13" s="17"/>
      <c r="M13" s="33"/>
      <c r="N13" s="34"/>
    </row>
    <row r="14" spans="1:14" ht="18" customHeight="1" x14ac:dyDescent="0.25">
      <c r="B14" s="8" t="s">
        <v>18</v>
      </c>
      <c r="C14" s="53"/>
      <c r="D14" s="54"/>
      <c r="E14" s="53" t="s">
        <v>18</v>
      </c>
      <c r="F14" s="54"/>
      <c r="G14" s="53"/>
      <c r="H14" s="54"/>
      <c r="I14" s="53" t="s">
        <v>18</v>
      </c>
      <c r="J14" s="62"/>
      <c r="K14" s="11"/>
      <c r="L14" s="17"/>
      <c r="M14" s="33"/>
      <c r="N14" s="34"/>
    </row>
    <row r="15" spans="1:14" ht="18" customHeight="1" x14ac:dyDescent="0.25">
      <c r="B15" s="6" t="s">
        <v>19</v>
      </c>
      <c r="C15" s="51"/>
      <c r="D15" s="52"/>
      <c r="E15" s="51" t="s">
        <v>19</v>
      </c>
      <c r="F15" s="52"/>
      <c r="G15" s="51"/>
      <c r="H15" s="52"/>
      <c r="I15" s="59" t="s">
        <v>19</v>
      </c>
      <c r="J15" s="60"/>
      <c r="K15" s="13"/>
      <c r="L15" s="19"/>
      <c r="M15" s="35"/>
      <c r="N15" s="36"/>
    </row>
    <row r="16" spans="1:14" ht="18" customHeight="1" x14ac:dyDescent="0.25">
      <c r="B16" s="8"/>
      <c r="C16" s="53" t="s">
        <v>20</v>
      </c>
      <c r="D16" s="54"/>
      <c r="E16" s="53"/>
      <c r="F16" s="54"/>
      <c r="G16" s="53" t="s">
        <v>20</v>
      </c>
      <c r="H16" s="54"/>
      <c r="I16" s="63"/>
      <c r="J16" s="64"/>
      <c r="K16" s="31" t="s">
        <v>15</v>
      </c>
      <c r="L16" s="16"/>
      <c r="M16" s="37"/>
      <c r="N16" s="38"/>
    </row>
    <row r="17" spans="2:14" ht="18" customHeight="1" x14ac:dyDescent="0.25">
      <c r="B17" s="6"/>
      <c r="C17" s="51" t="s">
        <v>21</v>
      </c>
      <c r="D17" s="52"/>
      <c r="E17" s="51"/>
      <c r="F17" s="52"/>
      <c r="G17" s="51" t="s">
        <v>21</v>
      </c>
      <c r="H17" s="52"/>
      <c r="I17" s="59"/>
      <c r="J17" s="60"/>
      <c r="K17" s="32"/>
      <c r="L17" s="17"/>
      <c r="M17" s="33"/>
      <c r="N17" s="34"/>
    </row>
    <row r="18" spans="2:14" ht="18" customHeight="1" x14ac:dyDescent="0.25">
      <c r="B18" s="9" t="s">
        <v>22</v>
      </c>
      <c r="C18" s="55"/>
      <c r="D18" s="56"/>
      <c r="E18" s="55" t="s">
        <v>22</v>
      </c>
      <c r="F18" s="56"/>
      <c r="G18" s="55"/>
      <c r="H18" s="56"/>
      <c r="I18" s="55" t="s">
        <v>22</v>
      </c>
      <c r="J18" s="61"/>
      <c r="K18" s="32"/>
      <c r="L18" s="17"/>
      <c r="M18" s="33"/>
      <c r="N18" s="34"/>
    </row>
    <row r="19" spans="2:14" ht="18" customHeight="1" x14ac:dyDescent="0.25">
      <c r="B19" s="6" t="s">
        <v>23</v>
      </c>
      <c r="C19" s="51"/>
      <c r="D19" s="52"/>
      <c r="E19" s="51" t="s">
        <v>23</v>
      </c>
      <c r="F19" s="52"/>
      <c r="G19" s="51"/>
      <c r="H19" s="52"/>
      <c r="I19" s="59" t="s">
        <v>23</v>
      </c>
      <c r="J19" s="60"/>
      <c r="K19" s="11"/>
      <c r="L19" s="17"/>
      <c r="M19" s="33"/>
      <c r="N19" s="34"/>
    </row>
    <row r="20" spans="2:14" ht="18" customHeight="1" x14ac:dyDescent="0.25">
      <c r="B20" s="8"/>
      <c r="C20" s="53"/>
      <c r="D20" s="54"/>
      <c r="E20" s="53"/>
      <c r="F20" s="54"/>
      <c r="G20" s="53"/>
      <c r="H20" s="54"/>
      <c r="I20" s="53"/>
      <c r="J20" s="62"/>
      <c r="K20" s="11"/>
      <c r="L20" s="17"/>
      <c r="M20" s="33"/>
      <c r="N20" s="34"/>
    </row>
    <row r="21" spans="2:14" ht="18" customHeight="1" x14ac:dyDescent="0.25">
      <c r="B21" s="6"/>
      <c r="C21" s="51"/>
      <c r="D21" s="52"/>
      <c r="E21" s="51"/>
      <c r="F21" s="52"/>
      <c r="G21" s="51"/>
      <c r="H21" s="52"/>
      <c r="I21" s="65"/>
      <c r="J21" s="66"/>
      <c r="K21" s="13"/>
      <c r="L21" s="19"/>
      <c r="M21" s="35"/>
      <c r="N21" s="36"/>
    </row>
    <row r="22" spans="2:14" ht="18" customHeight="1" x14ac:dyDescent="0.25">
      <c r="B22" s="8"/>
      <c r="C22" s="53"/>
      <c r="D22" s="54"/>
      <c r="E22" s="53"/>
      <c r="F22" s="54"/>
      <c r="G22" s="53"/>
      <c r="H22" s="54"/>
      <c r="I22" s="53"/>
      <c r="J22" s="62"/>
      <c r="K22" s="31" t="s">
        <v>16</v>
      </c>
      <c r="L22" s="16"/>
      <c r="M22" s="37"/>
      <c r="N22" s="38"/>
    </row>
    <row r="23" spans="2:14" ht="18" customHeight="1" x14ac:dyDescent="0.25">
      <c r="B23" s="6"/>
      <c r="C23" s="51"/>
      <c r="D23" s="52"/>
      <c r="E23" s="51"/>
      <c r="F23" s="52"/>
      <c r="G23" s="51"/>
      <c r="H23" s="52"/>
      <c r="I23" s="59"/>
      <c r="J23" s="60"/>
      <c r="K23" s="32"/>
      <c r="L23" s="17"/>
      <c r="M23" s="33"/>
      <c r="N23" s="34"/>
    </row>
    <row r="24" spans="2:14" ht="18" customHeight="1" x14ac:dyDescent="0.25">
      <c r="B24" s="8"/>
      <c r="C24" s="53"/>
      <c r="D24" s="54"/>
      <c r="E24" s="53"/>
      <c r="F24" s="54"/>
      <c r="G24" s="53"/>
      <c r="H24" s="54"/>
      <c r="I24" s="53"/>
      <c r="J24" s="62"/>
      <c r="K24" s="32"/>
      <c r="L24" s="17"/>
      <c r="M24" s="33"/>
      <c r="N24" s="34"/>
    </row>
    <row r="25" spans="2:14" ht="18" customHeight="1" x14ac:dyDescent="0.25">
      <c r="B25" s="6"/>
      <c r="C25" s="51"/>
      <c r="D25" s="52"/>
      <c r="E25" s="51"/>
      <c r="F25" s="52"/>
      <c r="G25" s="51"/>
      <c r="H25" s="52"/>
      <c r="I25" s="59"/>
      <c r="J25" s="60"/>
      <c r="K25" s="32"/>
      <c r="L25" s="17"/>
      <c r="M25" s="33"/>
      <c r="N25" s="34"/>
    </row>
    <row r="26" spans="2:14" ht="18" customHeight="1" x14ac:dyDescent="0.25">
      <c r="B26" s="8" t="s">
        <v>24</v>
      </c>
      <c r="C26" s="53"/>
      <c r="D26" s="54"/>
      <c r="E26" s="53" t="s">
        <v>24</v>
      </c>
      <c r="F26" s="54"/>
      <c r="G26" s="53"/>
      <c r="H26" s="54"/>
      <c r="I26" s="53" t="s">
        <v>24</v>
      </c>
      <c r="J26" s="62"/>
      <c r="K26" s="11"/>
      <c r="L26" s="17"/>
      <c r="M26" s="33"/>
      <c r="N26" s="34"/>
    </row>
    <row r="27" spans="2:14" ht="18" customHeight="1" x14ac:dyDescent="0.25">
      <c r="B27" s="6" t="s">
        <v>25</v>
      </c>
      <c r="C27" s="51"/>
      <c r="D27" s="52"/>
      <c r="E27" s="51" t="s">
        <v>25</v>
      </c>
      <c r="F27" s="52"/>
      <c r="G27" s="51"/>
      <c r="H27" s="52"/>
      <c r="I27" s="59" t="s">
        <v>25</v>
      </c>
      <c r="J27" s="60"/>
      <c r="K27" s="13"/>
      <c r="L27" s="19"/>
      <c r="M27" s="35"/>
      <c r="N27" s="36"/>
    </row>
    <row r="28" spans="2:14" ht="18" customHeight="1" x14ac:dyDescent="0.25">
      <c r="B28" s="8"/>
      <c r="C28" s="53"/>
      <c r="D28" s="54"/>
      <c r="E28" s="53"/>
      <c r="F28" s="54"/>
      <c r="G28" s="53"/>
      <c r="H28" s="54"/>
      <c r="I28" s="53"/>
      <c r="J28" s="62"/>
      <c r="K28" s="31" t="s">
        <v>17</v>
      </c>
      <c r="L28" s="16"/>
      <c r="M28" s="37"/>
      <c r="N28" s="38"/>
    </row>
    <row r="29" spans="2:14" ht="18" customHeight="1" x14ac:dyDescent="0.25">
      <c r="B29" s="6"/>
      <c r="C29" s="51"/>
      <c r="D29" s="52"/>
      <c r="E29" s="51"/>
      <c r="F29" s="52"/>
      <c r="G29" s="51"/>
      <c r="H29" s="52"/>
      <c r="I29" s="51"/>
      <c r="J29" s="67"/>
      <c r="K29" s="32"/>
      <c r="L29" s="17"/>
      <c r="M29" s="33"/>
      <c r="N29" s="34"/>
    </row>
    <row r="30" spans="2:14" ht="18" customHeight="1" x14ac:dyDescent="0.25">
      <c r="B30" s="8"/>
      <c r="C30" s="53" t="s">
        <v>26</v>
      </c>
      <c r="D30" s="54"/>
      <c r="E30" s="53"/>
      <c r="F30" s="54"/>
      <c r="G30" s="53" t="s">
        <v>26</v>
      </c>
      <c r="H30" s="54"/>
      <c r="I30" s="75"/>
      <c r="J30" s="76"/>
      <c r="K30" s="32"/>
      <c r="L30" s="17"/>
      <c r="M30" s="33"/>
      <c r="N30" s="34"/>
    </row>
    <row r="31" spans="2:14" ht="18" customHeight="1" x14ac:dyDescent="0.25">
      <c r="B31" s="6"/>
      <c r="C31" s="51" t="s">
        <v>27</v>
      </c>
      <c r="D31" s="52"/>
      <c r="E31" s="51"/>
      <c r="F31" s="52"/>
      <c r="G31" s="51" t="s">
        <v>27</v>
      </c>
      <c r="H31" s="52"/>
      <c r="I31" s="51"/>
      <c r="J31" s="67"/>
      <c r="K31" s="14"/>
      <c r="L31" s="17"/>
      <c r="M31" s="33"/>
      <c r="N31" s="34"/>
    </row>
    <row r="32" spans="2:14" ht="18" customHeight="1" x14ac:dyDescent="0.25">
      <c r="B32" s="8"/>
      <c r="C32" s="53"/>
      <c r="D32" s="54"/>
      <c r="E32" s="53"/>
      <c r="F32" s="54"/>
      <c r="G32" s="53"/>
      <c r="H32" s="54"/>
      <c r="I32" s="63"/>
      <c r="J32" s="64"/>
      <c r="K32" s="14"/>
      <c r="L32" s="17"/>
      <c r="M32" s="33"/>
      <c r="N32" s="34"/>
    </row>
    <row r="33" spans="2:14" ht="18" customHeight="1" x14ac:dyDescent="0.25">
      <c r="B33" s="7"/>
      <c r="C33" s="57"/>
      <c r="D33" s="58"/>
      <c r="E33" s="57"/>
      <c r="F33" s="58"/>
      <c r="G33" s="57"/>
      <c r="H33" s="58"/>
      <c r="I33" s="77"/>
      <c r="J33" s="78"/>
      <c r="K33" s="15"/>
      <c r="L33" s="20"/>
      <c r="M33" s="73"/>
      <c r="N33" s="74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conditionalFormatting sqref="C4:H4">
    <cfRule type="expression" dxfId="11" priority="3" stopIfTrue="1">
      <formula>DAY(C4)&gt;8</formula>
    </cfRule>
  </conditionalFormatting>
  <conditionalFormatting sqref="C8:I10">
    <cfRule type="expression" dxfId="10" priority="2" stopIfTrue="1">
      <formula>AND(DAY(C8)&gt;=1,DAY(C8)&lt;=15)</formula>
    </cfRule>
  </conditionalFormatting>
  <conditionalFormatting sqref="C4:I9">
    <cfRule type="expression" dxfId="9" priority="4">
      <formula>VLOOKUP(DAY(C4),HausaufgabenTage,1,FALSE)=DAY(C4)</formula>
    </cfRule>
  </conditionalFormatting>
  <conditionalFormatting sqref="B14:J33">
    <cfRule type="expression" dxfId="8" priority="1">
      <formula>B14&lt;&gt;""</formula>
    </cfRule>
  </conditionalFormatting>
  <printOptions horizontalCentered="1" verticalCentered="1"/>
  <pageMargins left="0.5" right="0.5" top="0.5" bottom="0.5" header="0.3" footer="0.3"/>
  <pageSetup paperSize="9" scale="9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4"/>
    <pageSetUpPr fitToPage="1"/>
  </sheetPr>
  <dimension ref="A1:O33"/>
  <sheetViews>
    <sheetView showGridLines="0" zoomScaleNormal="100" zoomScalePageLayoutView="84" workbookViewId="0"/>
  </sheetViews>
  <sheetFormatPr defaultColWidth="8.6640625" defaultRowHeight="16.5" customHeight="1" x14ac:dyDescent="0.25"/>
  <cols>
    <col min="1" max="1" width="2.33203125" style="1" customWidth="1"/>
    <col min="2" max="2" width="12.6640625" style="1" customWidth="1"/>
    <col min="3" max="4" width="7.33203125" style="1" customWidth="1"/>
    <col min="5" max="6" width="6.6640625" style="1" customWidth="1"/>
    <col min="7" max="8" width="7.33203125" style="1" customWidth="1"/>
    <col min="9" max="10" width="6.6640625" style="1" customWidth="1"/>
    <col min="11" max="11" width="7.33203125" style="1" customWidth="1"/>
    <col min="12" max="12" width="3.88671875" customWidth="1"/>
    <col min="13" max="13" width="51.44140625" style="1" customWidth="1"/>
    <col min="14" max="14" width="10.6640625" style="1" customWidth="1"/>
    <col min="15" max="15" width="2.33203125" customWidth="1"/>
    <col min="16" max="16" width="40.6640625" style="1" customWidth="1"/>
    <col min="17" max="16384" width="8.6640625" style="1"/>
  </cols>
  <sheetData>
    <row r="1" spans="1:14" ht="11.25" customHeight="1" x14ac:dyDescent="0.25"/>
    <row r="2" spans="1:14" ht="18" customHeight="1" x14ac:dyDescent="0.25">
      <c r="A2" s="4"/>
      <c r="B2" s="29"/>
      <c r="C2" s="21"/>
      <c r="D2" s="21"/>
      <c r="E2" s="21"/>
      <c r="F2" s="21"/>
      <c r="G2" s="21"/>
      <c r="H2" s="21"/>
      <c r="I2" s="21"/>
      <c r="J2" s="22"/>
      <c r="K2" s="42" t="s">
        <v>0</v>
      </c>
      <c r="L2" s="43">
        <v>2013</v>
      </c>
      <c r="M2" s="43"/>
      <c r="N2" s="79">
        <f>KalenderJahr</f>
        <v>2016</v>
      </c>
    </row>
    <row r="3" spans="1:14" ht="21" customHeight="1" x14ac:dyDescent="0.25">
      <c r="A3" s="4"/>
      <c r="B3" s="68" t="s">
        <v>37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5"/>
      <c r="K3" s="44"/>
      <c r="L3" s="45"/>
      <c r="M3" s="45"/>
      <c r="N3" s="80"/>
    </row>
    <row r="4" spans="1:14" ht="18" customHeight="1" x14ac:dyDescent="0.25">
      <c r="A4" s="4"/>
      <c r="B4" s="68"/>
      <c r="C4" s="10">
        <f>IF(DAY(NovSo1)=1,NovSo1-6,NovSo1+1)</f>
        <v>42674</v>
      </c>
      <c r="D4" s="10">
        <f>IF(DAY(NovSo1)=1,NovSo1-5,NovSo1+2)</f>
        <v>42675</v>
      </c>
      <c r="E4" s="10">
        <f>IF(DAY(NovSo1)=1,NovSo1-4,NovSo1+3)</f>
        <v>42676</v>
      </c>
      <c r="F4" s="10">
        <f>IF(DAY(NovSo1)=1,NovSo1-3,NovSo1+4)</f>
        <v>42677</v>
      </c>
      <c r="G4" s="10">
        <f>IF(DAY(NovSo1)=1,NovSo1-2,NovSo1+5)</f>
        <v>42678</v>
      </c>
      <c r="H4" s="10">
        <f>IF(DAY(NovSo1)=1,NovSo1-1,NovSo1+6)</f>
        <v>42679</v>
      </c>
      <c r="I4" s="10">
        <f>IF(DAY(NovSo1)=1,NovSo1,NovSo1+7)</f>
        <v>42680</v>
      </c>
      <c r="J4" s="5"/>
      <c r="K4" s="46" t="s">
        <v>10</v>
      </c>
      <c r="L4" s="16"/>
      <c r="M4" s="47"/>
      <c r="N4" s="48"/>
    </row>
    <row r="5" spans="1:14" ht="18" customHeight="1" x14ac:dyDescent="0.25">
      <c r="A5" s="4"/>
      <c r="B5" s="27"/>
      <c r="C5" s="10">
        <f>IF(DAY(NovSo1)=1,NovSo1+1,NovSo1+8)</f>
        <v>42681</v>
      </c>
      <c r="D5" s="10">
        <f>IF(DAY(NovSo1)=1,NovSo1+2,NovSo1+9)</f>
        <v>42682</v>
      </c>
      <c r="E5" s="10">
        <f>IF(DAY(NovSo1)=1,NovSo1+3,NovSo1+10)</f>
        <v>42683</v>
      </c>
      <c r="F5" s="10">
        <f>IF(DAY(NovSo1)=1,NovSo1+4,NovSo1+11)</f>
        <v>42684</v>
      </c>
      <c r="G5" s="10">
        <f>IF(DAY(NovSo1)=1,NovSo1+5,NovSo1+12)</f>
        <v>42685</v>
      </c>
      <c r="H5" s="10">
        <f>IF(DAY(NovSo1)=1,NovSo1+6,NovSo1+13)</f>
        <v>42686</v>
      </c>
      <c r="I5" s="10">
        <f>IF(DAY(NovSo1)=1,NovSo1+7,NovSo1+14)</f>
        <v>42687</v>
      </c>
      <c r="J5" s="5"/>
      <c r="K5" s="32"/>
      <c r="L5" s="17"/>
      <c r="M5" s="33"/>
      <c r="N5" s="34"/>
    </row>
    <row r="6" spans="1:14" ht="18" customHeight="1" x14ac:dyDescent="0.25">
      <c r="A6" s="4"/>
      <c r="B6" s="27"/>
      <c r="C6" s="10">
        <f>IF(DAY(NovSo1)=1,NovSo1+8,NovSo1+15)</f>
        <v>42688</v>
      </c>
      <c r="D6" s="10">
        <f>IF(DAY(NovSo1)=1,NovSo1+9,NovSo1+16)</f>
        <v>42689</v>
      </c>
      <c r="E6" s="10">
        <f>IF(DAY(NovSo1)=1,NovSo1+10,NovSo1+17)</f>
        <v>42690</v>
      </c>
      <c r="F6" s="10">
        <f>IF(DAY(NovSo1)=1,NovSo1+11,NovSo1+18)</f>
        <v>42691</v>
      </c>
      <c r="G6" s="10">
        <f>IF(DAY(NovSo1)=1,NovSo1+12,NovSo1+19)</f>
        <v>42692</v>
      </c>
      <c r="H6" s="10">
        <f>IF(DAY(NovSo1)=1,NovSo1+13,NovSo1+20)</f>
        <v>42693</v>
      </c>
      <c r="I6" s="10">
        <f>IF(DAY(NovSo1)=1,NovSo1+14,NovSo1+21)</f>
        <v>42694</v>
      </c>
      <c r="J6" s="5"/>
      <c r="K6" s="32"/>
      <c r="L6" s="17"/>
      <c r="M6" s="33"/>
      <c r="N6" s="34"/>
    </row>
    <row r="7" spans="1:14" ht="18" customHeight="1" x14ac:dyDescent="0.25">
      <c r="A7" s="4"/>
      <c r="B7" s="27"/>
      <c r="C7" s="10">
        <f>IF(DAY(NovSo1)=1,NovSo1+15,NovSo1+22)</f>
        <v>42695</v>
      </c>
      <c r="D7" s="10">
        <f>IF(DAY(NovSo1)=1,NovSo1+16,NovSo1+23)</f>
        <v>42696</v>
      </c>
      <c r="E7" s="10">
        <f>IF(DAY(NovSo1)=1,NovSo1+17,NovSo1+24)</f>
        <v>42697</v>
      </c>
      <c r="F7" s="10">
        <f>IF(DAY(NovSo1)=1,NovSo1+18,NovSo1+25)</f>
        <v>42698</v>
      </c>
      <c r="G7" s="10">
        <f>IF(DAY(NovSo1)=1,NovSo1+19,NovSo1+26)</f>
        <v>42699</v>
      </c>
      <c r="H7" s="10">
        <f>IF(DAY(NovSo1)=1,NovSo1+20,NovSo1+27)</f>
        <v>42700</v>
      </c>
      <c r="I7" s="10">
        <f>IF(DAY(NovSo1)=1,NovSo1+21,NovSo1+28)</f>
        <v>42701</v>
      </c>
      <c r="J7" s="5"/>
      <c r="K7" s="11"/>
      <c r="L7" s="17"/>
      <c r="M7" s="33"/>
      <c r="N7" s="34"/>
    </row>
    <row r="8" spans="1:14" ht="18.75" customHeight="1" x14ac:dyDescent="0.25">
      <c r="A8" s="4"/>
      <c r="B8" s="27"/>
      <c r="C8" s="10">
        <f>IF(DAY(NovSo1)=1,NovSo1+22,NovSo1+29)</f>
        <v>42702</v>
      </c>
      <c r="D8" s="10">
        <f>IF(DAY(NovSo1)=1,NovSo1+23,NovSo1+30)</f>
        <v>42703</v>
      </c>
      <c r="E8" s="10">
        <f>IF(DAY(NovSo1)=1,NovSo1+24,NovSo1+31)</f>
        <v>42704</v>
      </c>
      <c r="F8" s="10">
        <f>IF(DAY(NovSo1)=1,NovSo1+25,NovSo1+32)</f>
        <v>42705</v>
      </c>
      <c r="G8" s="10">
        <f>IF(DAY(NovSo1)=1,NovSo1+26,NovSo1+33)</f>
        <v>42706</v>
      </c>
      <c r="H8" s="10">
        <f>IF(DAY(NovSo1)=1,NovSo1+27,NovSo1+34)</f>
        <v>42707</v>
      </c>
      <c r="I8" s="10">
        <f>IF(DAY(NovSo1)=1,NovSo1+28,NovSo1+35)</f>
        <v>42708</v>
      </c>
      <c r="J8" s="5"/>
      <c r="K8" s="11"/>
      <c r="L8" s="17"/>
      <c r="M8" s="33"/>
      <c r="N8" s="34"/>
    </row>
    <row r="9" spans="1:14" ht="18" customHeight="1" x14ac:dyDescent="0.25">
      <c r="A9" s="4"/>
      <c r="B9" s="27"/>
      <c r="C9" s="10">
        <f>IF(DAY(NovSo1)=1,NovSo1+29,NovSo1+36)</f>
        <v>42709</v>
      </c>
      <c r="D9" s="10">
        <f>IF(DAY(NovSo1)=1,NovSo1+30,NovSo1+37)</f>
        <v>42710</v>
      </c>
      <c r="E9" s="10">
        <f>IF(DAY(NovSo1)=1,NovSo1+31,NovSo1+38)</f>
        <v>42711</v>
      </c>
      <c r="F9" s="10">
        <f>IF(DAY(NovSo1)=1,NovSo1+32,NovSo1+39)</f>
        <v>42712</v>
      </c>
      <c r="G9" s="10">
        <f>IF(DAY(NovSo1)=1,NovSo1+33,NovSo1+40)</f>
        <v>42713</v>
      </c>
      <c r="H9" s="10">
        <f>IF(DAY(NovSo1)=1,NovSo1+34,NovSo1+41)</f>
        <v>42714</v>
      </c>
      <c r="I9" s="10">
        <f>IF(DAY(NovSo1)=1,NovSo1+35,NovSo1+42)</f>
        <v>42715</v>
      </c>
      <c r="J9" s="5"/>
      <c r="K9" s="12"/>
      <c r="L9" s="18"/>
      <c r="M9" s="35"/>
      <c r="N9" s="36"/>
    </row>
    <row r="10" spans="1:14" ht="18" customHeight="1" x14ac:dyDescent="0.25">
      <c r="A10" s="4"/>
      <c r="B10" s="28"/>
      <c r="C10" s="23"/>
      <c r="D10" s="23"/>
      <c r="E10" s="23"/>
      <c r="F10" s="23"/>
      <c r="G10" s="23"/>
      <c r="H10" s="23"/>
      <c r="I10" s="23"/>
      <c r="J10" s="24"/>
      <c r="K10" s="31" t="s">
        <v>12</v>
      </c>
      <c r="L10" s="16"/>
      <c r="M10" s="37"/>
      <c r="N10" s="38"/>
    </row>
    <row r="11" spans="1:14" ht="18" customHeight="1" x14ac:dyDescent="0.25">
      <c r="A11" s="4"/>
      <c r="B11" s="70" t="s">
        <v>14</v>
      </c>
      <c r="C11" s="71"/>
      <c r="D11" s="71"/>
      <c r="E11" s="71"/>
      <c r="F11" s="71"/>
      <c r="G11" s="71"/>
      <c r="H11" s="71"/>
      <c r="I11" s="71"/>
      <c r="J11" s="72"/>
      <c r="K11" s="32"/>
      <c r="L11" s="17"/>
      <c r="M11" s="33"/>
      <c r="N11" s="34"/>
    </row>
    <row r="12" spans="1:14" ht="18" customHeight="1" x14ac:dyDescent="0.25">
      <c r="A12" s="4"/>
      <c r="B12" s="70"/>
      <c r="C12" s="71"/>
      <c r="D12" s="71"/>
      <c r="E12" s="71"/>
      <c r="F12" s="71"/>
      <c r="G12" s="71"/>
      <c r="H12" s="71"/>
      <c r="I12" s="71"/>
      <c r="J12" s="72"/>
      <c r="K12" s="32"/>
      <c r="L12" s="17"/>
      <c r="M12" s="33"/>
      <c r="N12" s="34"/>
    </row>
    <row r="13" spans="1:14" ht="18" customHeight="1" x14ac:dyDescent="0.25">
      <c r="B13" s="3" t="s">
        <v>10</v>
      </c>
      <c r="C13" s="39" t="s">
        <v>12</v>
      </c>
      <c r="D13" s="41"/>
      <c r="E13" s="39" t="s">
        <v>15</v>
      </c>
      <c r="F13" s="41"/>
      <c r="G13" s="39" t="s">
        <v>16</v>
      </c>
      <c r="H13" s="41"/>
      <c r="I13" s="39" t="s">
        <v>17</v>
      </c>
      <c r="J13" s="40"/>
      <c r="K13" s="11"/>
      <c r="L13" s="17"/>
      <c r="M13" s="33"/>
      <c r="N13" s="34"/>
    </row>
    <row r="14" spans="1:14" ht="18" customHeight="1" x14ac:dyDescent="0.25">
      <c r="B14" s="8" t="s">
        <v>18</v>
      </c>
      <c r="C14" s="53"/>
      <c r="D14" s="54"/>
      <c r="E14" s="53" t="s">
        <v>18</v>
      </c>
      <c r="F14" s="54"/>
      <c r="G14" s="53"/>
      <c r="H14" s="54"/>
      <c r="I14" s="53" t="s">
        <v>18</v>
      </c>
      <c r="J14" s="62"/>
      <c r="K14" s="11"/>
      <c r="L14" s="17"/>
      <c r="M14" s="33"/>
      <c r="N14" s="34"/>
    </row>
    <row r="15" spans="1:14" ht="18" customHeight="1" x14ac:dyDescent="0.25">
      <c r="B15" s="6" t="s">
        <v>19</v>
      </c>
      <c r="C15" s="51"/>
      <c r="D15" s="52"/>
      <c r="E15" s="51" t="s">
        <v>19</v>
      </c>
      <c r="F15" s="52"/>
      <c r="G15" s="51"/>
      <c r="H15" s="52"/>
      <c r="I15" s="59" t="s">
        <v>19</v>
      </c>
      <c r="J15" s="60"/>
      <c r="K15" s="13"/>
      <c r="L15" s="19"/>
      <c r="M15" s="35"/>
      <c r="N15" s="36"/>
    </row>
    <row r="16" spans="1:14" ht="18" customHeight="1" x14ac:dyDescent="0.25">
      <c r="B16" s="8"/>
      <c r="C16" s="53" t="s">
        <v>20</v>
      </c>
      <c r="D16" s="54"/>
      <c r="E16" s="53"/>
      <c r="F16" s="54"/>
      <c r="G16" s="53" t="s">
        <v>20</v>
      </c>
      <c r="H16" s="54"/>
      <c r="I16" s="63"/>
      <c r="J16" s="64"/>
      <c r="K16" s="31" t="s">
        <v>15</v>
      </c>
      <c r="L16" s="16"/>
      <c r="M16" s="37"/>
      <c r="N16" s="38"/>
    </row>
    <row r="17" spans="2:14" ht="18" customHeight="1" x14ac:dyDescent="0.25">
      <c r="B17" s="6"/>
      <c r="C17" s="51" t="s">
        <v>21</v>
      </c>
      <c r="D17" s="52"/>
      <c r="E17" s="51"/>
      <c r="F17" s="52"/>
      <c r="G17" s="51" t="s">
        <v>21</v>
      </c>
      <c r="H17" s="52"/>
      <c r="I17" s="59"/>
      <c r="J17" s="60"/>
      <c r="K17" s="32"/>
      <c r="L17" s="17"/>
      <c r="M17" s="33"/>
      <c r="N17" s="34"/>
    </row>
    <row r="18" spans="2:14" ht="18" customHeight="1" x14ac:dyDescent="0.25">
      <c r="B18" s="9" t="s">
        <v>22</v>
      </c>
      <c r="C18" s="55"/>
      <c r="D18" s="56"/>
      <c r="E18" s="55" t="s">
        <v>22</v>
      </c>
      <c r="F18" s="56"/>
      <c r="G18" s="55"/>
      <c r="H18" s="56"/>
      <c r="I18" s="55" t="s">
        <v>22</v>
      </c>
      <c r="J18" s="61"/>
      <c r="K18" s="32"/>
      <c r="L18" s="17"/>
      <c r="M18" s="33"/>
      <c r="N18" s="34"/>
    </row>
    <row r="19" spans="2:14" ht="18" customHeight="1" x14ac:dyDescent="0.25">
      <c r="B19" s="6" t="s">
        <v>23</v>
      </c>
      <c r="C19" s="51"/>
      <c r="D19" s="52"/>
      <c r="E19" s="51" t="s">
        <v>23</v>
      </c>
      <c r="F19" s="52"/>
      <c r="G19" s="51"/>
      <c r="H19" s="52"/>
      <c r="I19" s="59" t="s">
        <v>23</v>
      </c>
      <c r="J19" s="60"/>
      <c r="K19" s="11"/>
      <c r="L19" s="17"/>
      <c r="M19" s="33"/>
      <c r="N19" s="34"/>
    </row>
    <row r="20" spans="2:14" ht="18" customHeight="1" x14ac:dyDescent="0.25">
      <c r="B20" s="8"/>
      <c r="C20" s="53"/>
      <c r="D20" s="54"/>
      <c r="E20" s="53"/>
      <c r="F20" s="54"/>
      <c r="G20" s="53"/>
      <c r="H20" s="54"/>
      <c r="I20" s="53"/>
      <c r="J20" s="62"/>
      <c r="K20" s="11"/>
      <c r="L20" s="17"/>
      <c r="M20" s="33"/>
      <c r="N20" s="34"/>
    </row>
    <row r="21" spans="2:14" ht="18" customHeight="1" x14ac:dyDescent="0.25">
      <c r="B21" s="6"/>
      <c r="C21" s="51"/>
      <c r="D21" s="52"/>
      <c r="E21" s="51"/>
      <c r="F21" s="52"/>
      <c r="G21" s="51"/>
      <c r="H21" s="52"/>
      <c r="I21" s="65"/>
      <c r="J21" s="66"/>
      <c r="K21" s="13"/>
      <c r="L21" s="19"/>
      <c r="M21" s="35"/>
      <c r="N21" s="36"/>
    </row>
    <row r="22" spans="2:14" ht="18" customHeight="1" x14ac:dyDescent="0.25">
      <c r="B22" s="8"/>
      <c r="C22" s="53"/>
      <c r="D22" s="54"/>
      <c r="E22" s="53"/>
      <c r="F22" s="54"/>
      <c r="G22" s="53"/>
      <c r="H22" s="54"/>
      <c r="I22" s="53"/>
      <c r="J22" s="62"/>
      <c r="K22" s="31" t="s">
        <v>16</v>
      </c>
      <c r="L22" s="16"/>
      <c r="M22" s="37"/>
      <c r="N22" s="38"/>
    </row>
    <row r="23" spans="2:14" ht="18" customHeight="1" x14ac:dyDescent="0.25">
      <c r="B23" s="6"/>
      <c r="C23" s="51"/>
      <c r="D23" s="52"/>
      <c r="E23" s="51"/>
      <c r="F23" s="52"/>
      <c r="G23" s="51"/>
      <c r="H23" s="52"/>
      <c r="I23" s="59"/>
      <c r="J23" s="60"/>
      <c r="K23" s="32"/>
      <c r="L23" s="17"/>
      <c r="M23" s="33"/>
      <c r="N23" s="34"/>
    </row>
    <row r="24" spans="2:14" ht="18" customHeight="1" x14ac:dyDescent="0.25">
      <c r="B24" s="8"/>
      <c r="C24" s="53"/>
      <c r="D24" s="54"/>
      <c r="E24" s="53"/>
      <c r="F24" s="54"/>
      <c r="G24" s="53"/>
      <c r="H24" s="54"/>
      <c r="I24" s="53"/>
      <c r="J24" s="62"/>
      <c r="K24" s="32"/>
      <c r="L24" s="17"/>
      <c r="M24" s="33"/>
      <c r="N24" s="34"/>
    </row>
    <row r="25" spans="2:14" ht="18" customHeight="1" x14ac:dyDescent="0.25">
      <c r="B25" s="6"/>
      <c r="C25" s="51"/>
      <c r="D25" s="52"/>
      <c r="E25" s="51"/>
      <c r="F25" s="52"/>
      <c r="G25" s="51"/>
      <c r="H25" s="52"/>
      <c r="I25" s="59"/>
      <c r="J25" s="60"/>
      <c r="K25" s="32"/>
      <c r="L25" s="17"/>
      <c r="M25" s="33"/>
      <c r="N25" s="34"/>
    </row>
    <row r="26" spans="2:14" ht="18" customHeight="1" x14ac:dyDescent="0.25">
      <c r="B26" s="8" t="s">
        <v>24</v>
      </c>
      <c r="C26" s="53"/>
      <c r="D26" s="54"/>
      <c r="E26" s="53" t="s">
        <v>24</v>
      </c>
      <c r="F26" s="54"/>
      <c r="G26" s="53"/>
      <c r="H26" s="54"/>
      <c r="I26" s="53" t="s">
        <v>24</v>
      </c>
      <c r="J26" s="62"/>
      <c r="K26" s="11"/>
      <c r="L26" s="17"/>
      <c r="M26" s="33"/>
      <c r="N26" s="34"/>
    </row>
    <row r="27" spans="2:14" ht="18" customHeight="1" x14ac:dyDescent="0.25">
      <c r="B27" s="6" t="s">
        <v>25</v>
      </c>
      <c r="C27" s="51"/>
      <c r="D27" s="52"/>
      <c r="E27" s="51" t="s">
        <v>25</v>
      </c>
      <c r="F27" s="52"/>
      <c r="G27" s="51"/>
      <c r="H27" s="52"/>
      <c r="I27" s="59" t="s">
        <v>25</v>
      </c>
      <c r="J27" s="60"/>
      <c r="K27" s="13"/>
      <c r="L27" s="19"/>
      <c r="M27" s="35"/>
      <c r="N27" s="36"/>
    </row>
    <row r="28" spans="2:14" ht="18" customHeight="1" x14ac:dyDescent="0.25">
      <c r="B28" s="8"/>
      <c r="C28" s="53"/>
      <c r="D28" s="54"/>
      <c r="E28" s="53"/>
      <c r="F28" s="54"/>
      <c r="G28" s="53"/>
      <c r="H28" s="54"/>
      <c r="I28" s="53"/>
      <c r="J28" s="62"/>
      <c r="K28" s="31" t="s">
        <v>17</v>
      </c>
      <c r="L28" s="16"/>
      <c r="M28" s="37"/>
      <c r="N28" s="38"/>
    </row>
    <row r="29" spans="2:14" ht="18" customHeight="1" x14ac:dyDescent="0.25">
      <c r="B29" s="6"/>
      <c r="C29" s="51"/>
      <c r="D29" s="52"/>
      <c r="E29" s="51"/>
      <c r="F29" s="52"/>
      <c r="G29" s="51"/>
      <c r="H29" s="52"/>
      <c r="I29" s="51"/>
      <c r="J29" s="67"/>
      <c r="K29" s="32"/>
      <c r="L29" s="17"/>
      <c r="M29" s="33"/>
      <c r="N29" s="34"/>
    </row>
    <row r="30" spans="2:14" ht="18" customHeight="1" x14ac:dyDescent="0.25">
      <c r="B30" s="8"/>
      <c r="C30" s="53" t="s">
        <v>26</v>
      </c>
      <c r="D30" s="54"/>
      <c r="E30" s="53"/>
      <c r="F30" s="54"/>
      <c r="G30" s="53" t="s">
        <v>26</v>
      </c>
      <c r="H30" s="54"/>
      <c r="I30" s="75"/>
      <c r="J30" s="76"/>
      <c r="K30" s="32"/>
      <c r="L30" s="17"/>
      <c r="M30" s="33"/>
      <c r="N30" s="34"/>
    </row>
    <row r="31" spans="2:14" ht="18" customHeight="1" x14ac:dyDescent="0.25">
      <c r="B31" s="6"/>
      <c r="C31" s="51" t="s">
        <v>27</v>
      </c>
      <c r="D31" s="52"/>
      <c r="E31" s="51"/>
      <c r="F31" s="52"/>
      <c r="G31" s="51" t="s">
        <v>27</v>
      </c>
      <c r="H31" s="52"/>
      <c r="I31" s="51"/>
      <c r="J31" s="67"/>
      <c r="K31" s="14"/>
      <c r="L31" s="17"/>
      <c r="M31" s="33"/>
      <c r="N31" s="34"/>
    </row>
    <row r="32" spans="2:14" ht="18" customHeight="1" x14ac:dyDescent="0.25">
      <c r="B32" s="8"/>
      <c r="C32" s="53"/>
      <c r="D32" s="54"/>
      <c r="E32" s="53"/>
      <c r="F32" s="54"/>
      <c r="G32" s="53"/>
      <c r="H32" s="54"/>
      <c r="I32" s="63"/>
      <c r="J32" s="64"/>
      <c r="K32" s="14"/>
      <c r="L32" s="17"/>
      <c r="M32" s="33"/>
      <c r="N32" s="34"/>
    </row>
    <row r="33" spans="2:14" ht="18" customHeight="1" x14ac:dyDescent="0.25">
      <c r="B33" s="7"/>
      <c r="C33" s="57"/>
      <c r="D33" s="58"/>
      <c r="E33" s="57"/>
      <c r="F33" s="58"/>
      <c r="G33" s="57"/>
      <c r="H33" s="58"/>
      <c r="I33" s="77"/>
      <c r="J33" s="78"/>
      <c r="K33" s="15"/>
      <c r="L33" s="20"/>
      <c r="M33" s="73"/>
      <c r="N33" s="74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conditionalFormatting sqref="C4:H4">
    <cfRule type="expression" dxfId="7" priority="3" stopIfTrue="1">
      <formula>DAY(C4)&gt;8</formula>
    </cfRule>
  </conditionalFormatting>
  <conditionalFormatting sqref="C8:I10">
    <cfRule type="expression" dxfId="6" priority="2" stopIfTrue="1">
      <formula>AND(DAY(C8)&gt;=1,DAY(C8)&lt;=15)</formula>
    </cfRule>
  </conditionalFormatting>
  <conditionalFormatting sqref="C4:I9">
    <cfRule type="expression" dxfId="5" priority="4">
      <formula>VLOOKUP(DAY(C4),HausaufgabenTage,1,FALSE)=DAY(C4)</formula>
    </cfRule>
  </conditionalFormatting>
  <conditionalFormatting sqref="B14:J33">
    <cfRule type="expression" dxfId="4" priority="1">
      <formula>B14&lt;&gt;""</formula>
    </cfRule>
  </conditionalFormatting>
  <printOptions horizontalCentered="1" verticalCentered="1"/>
  <pageMargins left="0.5" right="0.5" top="0.5" bottom="0.5" header="0.3" footer="0.3"/>
  <pageSetup paperSize="9" scale="9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4"/>
    <pageSetUpPr fitToPage="1"/>
  </sheetPr>
  <dimension ref="A1:O33"/>
  <sheetViews>
    <sheetView showGridLines="0" zoomScaleNormal="100" zoomScalePageLayoutView="84" workbookViewId="0"/>
  </sheetViews>
  <sheetFormatPr defaultColWidth="8.6640625" defaultRowHeight="16.5" customHeight="1" x14ac:dyDescent="0.25"/>
  <cols>
    <col min="1" max="1" width="2.33203125" style="1" customWidth="1"/>
    <col min="2" max="2" width="12.6640625" style="1" customWidth="1"/>
    <col min="3" max="4" width="7.33203125" style="1" customWidth="1"/>
    <col min="5" max="6" width="6.6640625" style="1" customWidth="1"/>
    <col min="7" max="8" width="7.33203125" style="1" customWidth="1"/>
    <col min="9" max="10" width="6.6640625" style="1" customWidth="1"/>
    <col min="11" max="11" width="7.33203125" style="1" customWidth="1"/>
    <col min="12" max="12" width="3.88671875" customWidth="1"/>
    <col min="13" max="13" width="51.44140625" style="1" customWidth="1"/>
    <col min="14" max="14" width="10.6640625" style="1" customWidth="1"/>
    <col min="15" max="15" width="2.33203125" customWidth="1"/>
    <col min="16" max="16" width="40.6640625" style="1" customWidth="1"/>
    <col min="17" max="16384" width="8.6640625" style="1"/>
  </cols>
  <sheetData>
    <row r="1" spans="1:14" ht="11.25" customHeight="1" x14ac:dyDescent="0.25"/>
    <row r="2" spans="1:14" ht="18" customHeight="1" x14ac:dyDescent="0.25">
      <c r="A2" s="4"/>
      <c r="B2" s="29"/>
      <c r="C2" s="21"/>
      <c r="D2" s="21"/>
      <c r="E2" s="21"/>
      <c r="F2" s="21"/>
      <c r="G2" s="21"/>
      <c r="H2" s="21"/>
      <c r="I2" s="21"/>
      <c r="J2" s="22"/>
      <c r="K2" s="42" t="s">
        <v>0</v>
      </c>
      <c r="L2" s="43">
        <v>2013</v>
      </c>
      <c r="M2" s="43"/>
      <c r="N2" s="79">
        <f>KalenderJahr</f>
        <v>2016</v>
      </c>
    </row>
    <row r="3" spans="1:14" ht="21" customHeight="1" x14ac:dyDescent="0.25">
      <c r="A3" s="4"/>
      <c r="B3" s="68" t="s">
        <v>38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5"/>
      <c r="K3" s="44"/>
      <c r="L3" s="45"/>
      <c r="M3" s="45"/>
      <c r="N3" s="80"/>
    </row>
    <row r="4" spans="1:14" ht="18" customHeight="1" x14ac:dyDescent="0.25">
      <c r="A4" s="4"/>
      <c r="B4" s="68"/>
      <c r="C4" s="10">
        <f>IF(DAY(DezSo1)=1,DezSo1-6,DezSo1+1)</f>
        <v>42702</v>
      </c>
      <c r="D4" s="10">
        <f>IF(DAY(DezSo1)=1,DezSo1-5,DezSo1+2)</f>
        <v>42703</v>
      </c>
      <c r="E4" s="10">
        <f>IF(DAY(DezSo1)=1,DezSo1-4,DezSo1+3)</f>
        <v>42704</v>
      </c>
      <c r="F4" s="10">
        <f>IF(DAY(DezSo1)=1,DezSo1-3,DezSo1+4)</f>
        <v>42705</v>
      </c>
      <c r="G4" s="10">
        <f>IF(DAY(DezSo1)=1,DezSo1-2,DezSo1+5)</f>
        <v>42706</v>
      </c>
      <c r="H4" s="10">
        <f>IF(DAY(DezSo1)=1,DezSo1-1,DezSo1+6)</f>
        <v>42707</v>
      </c>
      <c r="I4" s="10">
        <f>IF(DAY(DezSo1)=1,DezSo1,DezSo1+7)</f>
        <v>42708</v>
      </c>
      <c r="J4" s="5"/>
      <c r="K4" s="46" t="s">
        <v>10</v>
      </c>
      <c r="L4" s="16"/>
      <c r="M4" s="47"/>
      <c r="N4" s="48"/>
    </row>
    <row r="5" spans="1:14" ht="18" customHeight="1" x14ac:dyDescent="0.25">
      <c r="A5" s="4"/>
      <c r="B5" s="27"/>
      <c r="C5" s="10">
        <f>IF(DAY(DezSo1)=1,DezSo1+1,DezSo1+8)</f>
        <v>42709</v>
      </c>
      <c r="D5" s="10">
        <f>IF(DAY(DezSo1)=1,DezSo1+2,DezSo1+9)</f>
        <v>42710</v>
      </c>
      <c r="E5" s="10">
        <f>IF(DAY(DezSo1)=1,DezSo1+3,DezSo1+10)</f>
        <v>42711</v>
      </c>
      <c r="F5" s="10">
        <f>IF(DAY(DezSo1)=1,DezSo1+4,DezSo1+11)</f>
        <v>42712</v>
      </c>
      <c r="G5" s="10">
        <f>IF(DAY(DezSo1)=1,DezSo1+5,DezSo1+12)</f>
        <v>42713</v>
      </c>
      <c r="H5" s="10">
        <f>IF(DAY(DezSo1)=1,DezSo1+6,DezSo1+13)</f>
        <v>42714</v>
      </c>
      <c r="I5" s="10">
        <f>IF(DAY(DezSo1)=1,DezSo1+7,DezSo1+14)</f>
        <v>42715</v>
      </c>
      <c r="J5" s="5"/>
      <c r="K5" s="32"/>
      <c r="L5" s="17"/>
      <c r="M5" s="33"/>
      <c r="N5" s="34"/>
    </row>
    <row r="6" spans="1:14" ht="18" customHeight="1" x14ac:dyDescent="0.25">
      <c r="A6" s="4"/>
      <c r="B6" s="27"/>
      <c r="C6" s="10">
        <f>IF(DAY(DezSo1)=1,DezSo1+8,DezSo1+15)</f>
        <v>42716</v>
      </c>
      <c r="D6" s="10">
        <f>IF(DAY(DezSo1)=1,DezSo1+9,DezSo1+16)</f>
        <v>42717</v>
      </c>
      <c r="E6" s="10">
        <f>IF(DAY(DezSo1)=1,DezSo1+10,DezSo1+17)</f>
        <v>42718</v>
      </c>
      <c r="F6" s="10">
        <f>IF(DAY(DezSo1)=1,DezSo1+11,DezSo1+18)</f>
        <v>42719</v>
      </c>
      <c r="G6" s="10">
        <f>IF(DAY(DezSo1)=1,DezSo1+12,DezSo1+19)</f>
        <v>42720</v>
      </c>
      <c r="H6" s="10">
        <f>IF(DAY(DezSo1)=1,DezSo1+13,DezSo1+20)</f>
        <v>42721</v>
      </c>
      <c r="I6" s="10">
        <f>IF(DAY(DezSo1)=1,DezSo1+14,DezSo1+21)</f>
        <v>42722</v>
      </c>
      <c r="J6" s="5"/>
      <c r="K6" s="32"/>
      <c r="L6" s="17"/>
      <c r="M6" s="33"/>
      <c r="N6" s="34"/>
    </row>
    <row r="7" spans="1:14" ht="18" customHeight="1" x14ac:dyDescent="0.25">
      <c r="A7" s="4"/>
      <c r="B7" s="27"/>
      <c r="C7" s="10">
        <f>IF(DAY(DezSo1)=1,DezSo1+15,DezSo1+22)</f>
        <v>42723</v>
      </c>
      <c r="D7" s="10">
        <f>IF(DAY(DezSo1)=1,DezSo1+16,DezSo1+23)</f>
        <v>42724</v>
      </c>
      <c r="E7" s="10">
        <f>IF(DAY(DezSo1)=1,DezSo1+17,DezSo1+24)</f>
        <v>42725</v>
      </c>
      <c r="F7" s="10">
        <f>IF(DAY(DezSo1)=1,DezSo1+18,DezSo1+25)</f>
        <v>42726</v>
      </c>
      <c r="G7" s="10">
        <f>IF(DAY(DezSo1)=1,DezSo1+19,DezSo1+26)</f>
        <v>42727</v>
      </c>
      <c r="H7" s="10">
        <f>IF(DAY(DezSo1)=1,DezSo1+20,DezSo1+27)</f>
        <v>42728</v>
      </c>
      <c r="I7" s="10">
        <f>IF(DAY(DezSo1)=1,DezSo1+21,DezSo1+28)</f>
        <v>42729</v>
      </c>
      <c r="J7" s="5"/>
      <c r="K7" s="11"/>
      <c r="L7" s="17"/>
      <c r="M7" s="33"/>
      <c r="N7" s="34"/>
    </row>
    <row r="8" spans="1:14" ht="18.75" customHeight="1" x14ac:dyDescent="0.25">
      <c r="A8" s="4"/>
      <c r="B8" s="27"/>
      <c r="C8" s="10">
        <f>IF(DAY(DezSo1)=1,DezSo1+22,DezSo1+29)</f>
        <v>42730</v>
      </c>
      <c r="D8" s="10">
        <f>IF(DAY(DezSo1)=1,DezSo1+23,DezSo1+30)</f>
        <v>42731</v>
      </c>
      <c r="E8" s="10">
        <f>IF(DAY(DezSo1)=1,DezSo1+24,DezSo1+31)</f>
        <v>42732</v>
      </c>
      <c r="F8" s="10">
        <f>IF(DAY(DezSo1)=1,DezSo1+25,DezSo1+32)</f>
        <v>42733</v>
      </c>
      <c r="G8" s="10">
        <f>IF(DAY(DezSo1)=1,DezSo1+26,DezSo1+33)</f>
        <v>42734</v>
      </c>
      <c r="H8" s="10">
        <f>IF(DAY(DezSo1)=1,DezSo1+27,DezSo1+34)</f>
        <v>42735</v>
      </c>
      <c r="I8" s="10">
        <f>IF(DAY(DezSo1)=1,DezSo1+28,DezSo1+35)</f>
        <v>42736</v>
      </c>
      <c r="J8" s="5"/>
      <c r="K8" s="11"/>
      <c r="L8" s="17"/>
      <c r="M8" s="33"/>
      <c r="N8" s="34"/>
    </row>
    <row r="9" spans="1:14" ht="18" customHeight="1" x14ac:dyDescent="0.25">
      <c r="A9" s="4"/>
      <c r="B9" s="27"/>
      <c r="C9" s="10">
        <f>IF(DAY(DezSo1)=1,DezSo1+29,DezSo1+36)</f>
        <v>42737</v>
      </c>
      <c r="D9" s="10">
        <f>IF(DAY(DezSo1)=1,DezSo1+30,DezSo1+37)</f>
        <v>42738</v>
      </c>
      <c r="E9" s="10">
        <f>IF(DAY(DezSo1)=1,DezSo1+31,DezSo1+38)</f>
        <v>42739</v>
      </c>
      <c r="F9" s="10">
        <f>IF(DAY(DezSo1)=1,DezSo1+32,DezSo1+39)</f>
        <v>42740</v>
      </c>
      <c r="G9" s="10">
        <f>IF(DAY(DezSo1)=1,DezSo1+33,DezSo1+40)</f>
        <v>42741</v>
      </c>
      <c r="H9" s="10">
        <f>IF(DAY(DezSo1)=1,DezSo1+34,DezSo1+41)</f>
        <v>42742</v>
      </c>
      <c r="I9" s="10">
        <f>IF(DAY(DezSo1)=1,DezSo1+35,DezSo1+42)</f>
        <v>42743</v>
      </c>
      <c r="J9" s="5"/>
      <c r="K9" s="12"/>
      <c r="L9" s="18"/>
      <c r="M9" s="35"/>
      <c r="N9" s="36"/>
    </row>
    <row r="10" spans="1:14" ht="18" customHeight="1" x14ac:dyDescent="0.25">
      <c r="A10" s="4"/>
      <c r="B10" s="28"/>
      <c r="C10" s="23"/>
      <c r="D10" s="23"/>
      <c r="E10" s="23"/>
      <c r="F10" s="23"/>
      <c r="G10" s="23"/>
      <c r="H10" s="23"/>
      <c r="I10" s="23"/>
      <c r="J10" s="24"/>
      <c r="K10" s="31" t="s">
        <v>12</v>
      </c>
      <c r="L10" s="16"/>
      <c r="M10" s="37"/>
      <c r="N10" s="38"/>
    </row>
    <row r="11" spans="1:14" ht="18" customHeight="1" x14ac:dyDescent="0.25">
      <c r="A11" s="4"/>
      <c r="B11" s="70" t="s">
        <v>14</v>
      </c>
      <c r="C11" s="71"/>
      <c r="D11" s="71"/>
      <c r="E11" s="71"/>
      <c r="F11" s="71"/>
      <c r="G11" s="71"/>
      <c r="H11" s="71"/>
      <c r="I11" s="71"/>
      <c r="J11" s="72"/>
      <c r="K11" s="32"/>
      <c r="L11" s="17"/>
      <c r="M11" s="33"/>
      <c r="N11" s="34"/>
    </row>
    <row r="12" spans="1:14" ht="18" customHeight="1" x14ac:dyDescent="0.25">
      <c r="A12" s="4"/>
      <c r="B12" s="70"/>
      <c r="C12" s="71"/>
      <c r="D12" s="71"/>
      <c r="E12" s="71"/>
      <c r="F12" s="71"/>
      <c r="G12" s="71"/>
      <c r="H12" s="71"/>
      <c r="I12" s="71"/>
      <c r="J12" s="72"/>
      <c r="K12" s="32"/>
      <c r="L12" s="17"/>
      <c r="M12" s="33"/>
      <c r="N12" s="34"/>
    </row>
    <row r="13" spans="1:14" ht="18" customHeight="1" x14ac:dyDescent="0.25">
      <c r="B13" s="3" t="s">
        <v>10</v>
      </c>
      <c r="C13" s="39" t="s">
        <v>12</v>
      </c>
      <c r="D13" s="41"/>
      <c r="E13" s="39" t="s">
        <v>15</v>
      </c>
      <c r="F13" s="41"/>
      <c r="G13" s="39" t="s">
        <v>16</v>
      </c>
      <c r="H13" s="41"/>
      <c r="I13" s="39" t="s">
        <v>17</v>
      </c>
      <c r="J13" s="40"/>
      <c r="K13" s="11"/>
      <c r="L13" s="17"/>
      <c r="M13" s="33"/>
      <c r="N13" s="34"/>
    </row>
    <row r="14" spans="1:14" ht="18" customHeight="1" x14ac:dyDescent="0.25">
      <c r="B14" s="8" t="s">
        <v>18</v>
      </c>
      <c r="C14" s="53"/>
      <c r="D14" s="54"/>
      <c r="E14" s="53" t="s">
        <v>18</v>
      </c>
      <c r="F14" s="54"/>
      <c r="G14" s="53"/>
      <c r="H14" s="54"/>
      <c r="I14" s="53" t="s">
        <v>18</v>
      </c>
      <c r="J14" s="62"/>
      <c r="K14" s="11"/>
      <c r="L14" s="17"/>
      <c r="M14" s="33"/>
      <c r="N14" s="34"/>
    </row>
    <row r="15" spans="1:14" ht="18" customHeight="1" x14ac:dyDescent="0.25">
      <c r="B15" s="6" t="s">
        <v>19</v>
      </c>
      <c r="C15" s="51"/>
      <c r="D15" s="52"/>
      <c r="E15" s="51" t="s">
        <v>19</v>
      </c>
      <c r="F15" s="52"/>
      <c r="G15" s="51"/>
      <c r="H15" s="52"/>
      <c r="I15" s="59" t="s">
        <v>19</v>
      </c>
      <c r="J15" s="60"/>
      <c r="K15" s="13"/>
      <c r="L15" s="19"/>
      <c r="M15" s="35"/>
      <c r="N15" s="36"/>
    </row>
    <row r="16" spans="1:14" ht="18" customHeight="1" x14ac:dyDescent="0.25">
      <c r="B16" s="8"/>
      <c r="C16" s="53" t="s">
        <v>20</v>
      </c>
      <c r="D16" s="54"/>
      <c r="E16" s="53"/>
      <c r="F16" s="54"/>
      <c r="G16" s="53" t="s">
        <v>20</v>
      </c>
      <c r="H16" s="54"/>
      <c r="I16" s="63"/>
      <c r="J16" s="64"/>
      <c r="K16" s="31" t="s">
        <v>15</v>
      </c>
      <c r="L16" s="16"/>
      <c r="M16" s="37"/>
      <c r="N16" s="38"/>
    </row>
    <row r="17" spans="2:14" ht="18" customHeight="1" x14ac:dyDescent="0.25">
      <c r="B17" s="6"/>
      <c r="C17" s="51" t="s">
        <v>21</v>
      </c>
      <c r="D17" s="52"/>
      <c r="E17" s="51"/>
      <c r="F17" s="52"/>
      <c r="G17" s="51" t="s">
        <v>21</v>
      </c>
      <c r="H17" s="52"/>
      <c r="I17" s="59"/>
      <c r="J17" s="60"/>
      <c r="K17" s="32"/>
      <c r="L17" s="17"/>
      <c r="M17" s="33"/>
      <c r="N17" s="34"/>
    </row>
    <row r="18" spans="2:14" ht="18" customHeight="1" x14ac:dyDescent="0.25">
      <c r="B18" s="9" t="s">
        <v>22</v>
      </c>
      <c r="C18" s="55"/>
      <c r="D18" s="56"/>
      <c r="E18" s="55" t="s">
        <v>22</v>
      </c>
      <c r="F18" s="56"/>
      <c r="G18" s="55"/>
      <c r="H18" s="56"/>
      <c r="I18" s="55" t="s">
        <v>22</v>
      </c>
      <c r="J18" s="61"/>
      <c r="K18" s="32"/>
      <c r="L18" s="17"/>
      <c r="M18" s="33"/>
      <c r="N18" s="34"/>
    </row>
    <row r="19" spans="2:14" ht="18" customHeight="1" x14ac:dyDescent="0.25">
      <c r="B19" s="6" t="s">
        <v>23</v>
      </c>
      <c r="C19" s="51"/>
      <c r="D19" s="52"/>
      <c r="E19" s="51" t="s">
        <v>23</v>
      </c>
      <c r="F19" s="52"/>
      <c r="G19" s="51"/>
      <c r="H19" s="52"/>
      <c r="I19" s="59" t="s">
        <v>23</v>
      </c>
      <c r="J19" s="60"/>
      <c r="K19" s="11"/>
      <c r="L19" s="17"/>
      <c r="M19" s="33"/>
      <c r="N19" s="34"/>
    </row>
    <row r="20" spans="2:14" ht="18" customHeight="1" x14ac:dyDescent="0.25">
      <c r="B20" s="8"/>
      <c r="C20" s="53"/>
      <c r="D20" s="54"/>
      <c r="E20" s="53"/>
      <c r="F20" s="54"/>
      <c r="G20" s="53"/>
      <c r="H20" s="54"/>
      <c r="I20" s="53"/>
      <c r="J20" s="62"/>
      <c r="K20" s="11"/>
      <c r="L20" s="17"/>
      <c r="M20" s="33"/>
      <c r="N20" s="34"/>
    </row>
    <row r="21" spans="2:14" ht="18" customHeight="1" x14ac:dyDescent="0.25">
      <c r="B21" s="6"/>
      <c r="C21" s="51"/>
      <c r="D21" s="52"/>
      <c r="E21" s="51"/>
      <c r="F21" s="52"/>
      <c r="G21" s="51"/>
      <c r="H21" s="52"/>
      <c r="I21" s="65"/>
      <c r="J21" s="66"/>
      <c r="K21" s="13"/>
      <c r="L21" s="19"/>
      <c r="M21" s="35"/>
      <c r="N21" s="36"/>
    </row>
    <row r="22" spans="2:14" ht="18" customHeight="1" x14ac:dyDescent="0.25">
      <c r="B22" s="8"/>
      <c r="C22" s="53"/>
      <c r="D22" s="54"/>
      <c r="E22" s="53"/>
      <c r="F22" s="54"/>
      <c r="G22" s="53"/>
      <c r="H22" s="54"/>
      <c r="I22" s="53"/>
      <c r="J22" s="62"/>
      <c r="K22" s="31" t="s">
        <v>16</v>
      </c>
      <c r="L22" s="16"/>
      <c r="M22" s="37"/>
      <c r="N22" s="38"/>
    </row>
    <row r="23" spans="2:14" ht="18" customHeight="1" x14ac:dyDescent="0.25">
      <c r="B23" s="6"/>
      <c r="C23" s="51"/>
      <c r="D23" s="52"/>
      <c r="E23" s="51"/>
      <c r="F23" s="52"/>
      <c r="G23" s="51"/>
      <c r="H23" s="52"/>
      <c r="I23" s="59"/>
      <c r="J23" s="60"/>
      <c r="K23" s="32"/>
      <c r="L23" s="17"/>
      <c r="M23" s="33"/>
      <c r="N23" s="34"/>
    </row>
    <row r="24" spans="2:14" ht="18" customHeight="1" x14ac:dyDescent="0.25">
      <c r="B24" s="8"/>
      <c r="C24" s="53"/>
      <c r="D24" s="54"/>
      <c r="E24" s="53"/>
      <c r="F24" s="54"/>
      <c r="G24" s="53"/>
      <c r="H24" s="54"/>
      <c r="I24" s="53"/>
      <c r="J24" s="62"/>
      <c r="K24" s="32"/>
      <c r="L24" s="17"/>
      <c r="M24" s="33"/>
      <c r="N24" s="34"/>
    </row>
    <row r="25" spans="2:14" ht="18" customHeight="1" x14ac:dyDescent="0.25">
      <c r="B25" s="6"/>
      <c r="C25" s="51"/>
      <c r="D25" s="52"/>
      <c r="E25" s="51"/>
      <c r="F25" s="52"/>
      <c r="G25" s="51"/>
      <c r="H25" s="52"/>
      <c r="I25" s="59"/>
      <c r="J25" s="60"/>
      <c r="K25" s="32"/>
      <c r="L25" s="17"/>
      <c r="M25" s="33"/>
      <c r="N25" s="34"/>
    </row>
    <row r="26" spans="2:14" ht="18" customHeight="1" x14ac:dyDescent="0.25">
      <c r="B26" s="8" t="s">
        <v>24</v>
      </c>
      <c r="C26" s="53"/>
      <c r="D26" s="54"/>
      <c r="E26" s="53" t="s">
        <v>24</v>
      </c>
      <c r="F26" s="54"/>
      <c r="G26" s="53"/>
      <c r="H26" s="54"/>
      <c r="I26" s="53" t="s">
        <v>24</v>
      </c>
      <c r="J26" s="62"/>
      <c r="K26" s="11"/>
      <c r="L26" s="17"/>
      <c r="M26" s="33"/>
      <c r="N26" s="34"/>
    </row>
    <row r="27" spans="2:14" ht="18" customHeight="1" x14ac:dyDescent="0.25">
      <c r="B27" s="6" t="s">
        <v>25</v>
      </c>
      <c r="C27" s="51"/>
      <c r="D27" s="52"/>
      <c r="E27" s="51" t="s">
        <v>25</v>
      </c>
      <c r="F27" s="52"/>
      <c r="G27" s="51"/>
      <c r="H27" s="52"/>
      <c r="I27" s="59" t="s">
        <v>25</v>
      </c>
      <c r="J27" s="60"/>
      <c r="K27" s="13"/>
      <c r="L27" s="19"/>
      <c r="M27" s="35"/>
      <c r="N27" s="36"/>
    </row>
    <row r="28" spans="2:14" ht="18" customHeight="1" x14ac:dyDescent="0.25">
      <c r="B28" s="8"/>
      <c r="C28" s="53"/>
      <c r="D28" s="54"/>
      <c r="E28" s="53"/>
      <c r="F28" s="54"/>
      <c r="G28" s="53"/>
      <c r="H28" s="54"/>
      <c r="I28" s="53"/>
      <c r="J28" s="62"/>
      <c r="K28" s="31" t="s">
        <v>17</v>
      </c>
      <c r="L28" s="16"/>
      <c r="M28" s="37"/>
      <c r="N28" s="38"/>
    </row>
    <row r="29" spans="2:14" ht="18" customHeight="1" x14ac:dyDescent="0.25">
      <c r="B29" s="6"/>
      <c r="C29" s="51"/>
      <c r="D29" s="52"/>
      <c r="E29" s="51"/>
      <c r="F29" s="52"/>
      <c r="G29" s="51"/>
      <c r="H29" s="52"/>
      <c r="I29" s="51"/>
      <c r="J29" s="67"/>
      <c r="K29" s="32"/>
      <c r="L29" s="17"/>
      <c r="M29" s="33"/>
      <c r="N29" s="34"/>
    </row>
    <row r="30" spans="2:14" ht="18" customHeight="1" x14ac:dyDescent="0.25">
      <c r="B30" s="8"/>
      <c r="C30" s="53" t="s">
        <v>26</v>
      </c>
      <c r="D30" s="54"/>
      <c r="E30" s="53"/>
      <c r="F30" s="54"/>
      <c r="G30" s="53" t="s">
        <v>26</v>
      </c>
      <c r="H30" s="54"/>
      <c r="I30" s="75"/>
      <c r="J30" s="76"/>
      <c r="K30" s="32"/>
      <c r="L30" s="17"/>
      <c r="M30" s="33"/>
      <c r="N30" s="34"/>
    </row>
    <row r="31" spans="2:14" ht="18" customHeight="1" x14ac:dyDescent="0.25">
      <c r="B31" s="6"/>
      <c r="C31" s="51" t="s">
        <v>27</v>
      </c>
      <c r="D31" s="52"/>
      <c r="E31" s="51"/>
      <c r="F31" s="52"/>
      <c r="G31" s="51" t="s">
        <v>27</v>
      </c>
      <c r="H31" s="52"/>
      <c r="I31" s="51"/>
      <c r="J31" s="67"/>
      <c r="K31" s="14"/>
      <c r="L31" s="17"/>
      <c r="M31" s="33"/>
      <c r="N31" s="34"/>
    </row>
    <row r="32" spans="2:14" ht="18" customHeight="1" x14ac:dyDescent="0.25">
      <c r="B32" s="8"/>
      <c r="C32" s="53"/>
      <c r="D32" s="54"/>
      <c r="E32" s="53"/>
      <c r="F32" s="54"/>
      <c r="G32" s="53"/>
      <c r="H32" s="54"/>
      <c r="I32" s="63"/>
      <c r="J32" s="64"/>
      <c r="K32" s="14"/>
      <c r="L32" s="17"/>
      <c r="M32" s="33"/>
      <c r="N32" s="34"/>
    </row>
    <row r="33" spans="2:14" ht="18" customHeight="1" x14ac:dyDescent="0.25">
      <c r="B33" s="7"/>
      <c r="C33" s="57"/>
      <c r="D33" s="58"/>
      <c r="E33" s="57"/>
      <c r="F33" s="58"/>
      <c r="G33" s="57"/>
      <c r="H33" s="58"/>
      <c r="I33" s="77"/>
      <c r="J33" s="78"/>
      <c r="K33" s="15"/>
      <c r="L33" s="20"/>
      <c r="M33" s="73"/>
      <c r="N33" s="74"/>
    </row>
  </sheetData>
  <mergeCells count="123">
    <mergeCell ref="C33:D33"/>
    <mergeCell ref="E33:F33"/>
    <mergeCell ref="G33:H33"/>
    <mergeCell ref="I33:J33"/>
    <mergeCell ref="M33:N33"/>
    <mergeCell ref="C31:D31"/>
    <mergeCell ref="E31:F31"/>
    <mergeCell ref="G31:H31"/>
    <mergeCell ref="I31:J31"/>
    <mergeCell ref="M31:N31"/>
    <mergeCell ref="C32:D32"/>
    <mergeCell ref="E32:F32"/>
    <mergeCell ref="G32:H32"/>
    <mergeCell ref="I32:J32"/>
    <mergeCell ref="M32:N32"/>
    <mergeCell ref="M29:N29"/>
    <mergeCell ref="C30:D30"/>
    <mergeCell ref="E30:F30"/>
    <mergeCell ref="G30:H30"/>
    <mergeCell ref="I30:J30"/>
    <mergeCell ref="M30:N30"/>
    <mergeCell ref="C28:D28"/>
    <mergeCell ref="E28:F28"/>
    <mergeCell ref="G28:H28"/>
    <mergeCell ref="I28:J28"/>
    <mergeCell ref="K28:K30"/>
    <mergeCell ref="M28:N28"/>
    <mergeCell ref="C29:D29"/>
    <mergeCell ref="E29:F29"/>
    <mergeCell ref="G29:H29"/>
    <mergeCell ref="I29:J29"/>
    <mergeCell ref="I25:J25"/>
    <mergeCell ref="M25:N25"/>
    <mergeCell ref="C26:D26"/>
    <mergeCell ref="E26:F26"/>
    <mergeCell ref="G26:H26"/>
    <mergeCell ref="I26:J26"/>
    <mergeCell ref="M26:N26"/>
    <mergeCell ref="C27:D27"/>
    <mergeCell ref="E27:F27"/>
    <mergeCell ref="G27:H27"/>
    <mergeCell ref="I27:J27"/>
    <mergeCell ref="M27:N27"/>
    <mergeCell ref="M22:N22"/>
    <mergeCell ref="C23:D23"/>
    <mergeCell ref="E23:F23"/>
    <mergeCell ref="G23:H23"/>
    <mergeCell ref="I23:J23"/>
    <mergeCell ref="M23:N23"/>
    <mergeCell ref="C21:D21"/>
    <mergeCell ref="E21:F21"/>
    <mergeCell ref="G21:H21"/>
    <mergeCell ref="I21:J21"/>
    <mergeCell ref="M21:N21"/>
    <mergeCell ref="C22:D22"/>
    <mergeCell ref="E22:F22"/>
    <mergeCell ref="G22:H22"/>
    <mergeCell ref="I22:J22"/>
    <mergeCell ref="K22:K25"/>
    <mergeCell ref="C24:D24"/>
    <mergeCell ref="E24:F24"/>
    <mergeCell ref="G24:H24"/>
    <mergeCell ref="I24:J24"/>
    <mergeCell ref="M24:N24"/>
    <mergeCell ref="C25:D25"/>
    <mergeCell ref="E25:F25"/>
    <mergeCell ref="G25:H25"/>
    <mergeCell ref="C19:D19"/>
    <mergeCell ref="E19:F19"/>
    <mergeCell ref="G19:H19"/>
    <mergeCell ref="I19:J19"/>
    <mergeCell ref="M19:N19"/>
    <mergeCell ref="C20:D20"/>
    <mergeCell ref="E20:F20"/>
    <mergeCell ref="G20:H20"/>
    <mergeCell ref="I20:J20"/>
    <mergeCell ref="M20:N20"/>
    <mergeCell ref="M17:N17"/>
    <mergeCell ref="C18:D18"/>
    <mergeCell ref="E18:F18"/>
    <mergeCell ref="G18:H18"/>
    <mergeCell ref="I18:J18"/>
    <mergeCell ref="M18:N18"/>
    <mergeCell ref="C16:D16"/>
    <mergeCell ref="E16:F16"/>
    <mergeCell ref="G16:H16"/>
    <mergeCell ref="I16:J16"/>
    <mergeCell ref="K16:K18"/>
    <mergeCell ref="M16:N16"/>
    <mergeCell ref="C17:D17"/>
    <mergeCell ref="E17:F17"/>
    <mergeCell ref="G17:H17"/>
    <mergeCell ref="I17:J17"/>
    <mergeCell ref="C14:D14"/>
    <mergeCell ref="E14:F14"/>
    <mergeCell ref="G14:H14"/>
    <mergeCell ref="I14:J14"/>
    <mergeCell ref="M14:N14"/>
    <mergeCell ref="C15:D15"/>
    <mergeCell ref="E15:F15"/>
    <mergeCell ref="G15:H15"/>
    <mergeCell ref="I15:J15"/>
    <mergeCell ref="M15:N15"/>
    <mergeCell ref="K10:K12"/>
    <mergeCell ref="N2:N3"/>
    <mergeCell ref="M10:N10"/>
    <mergeCell ref="B11:J12"/>
    <mergeCell ref="M11:N11"/>
    <mergeCell ref="M12:N12"/>
    <mergeCell ref="C13:D13"/>
    <mergeCell ref="E13:F13"/>
    <mergeCell ref="G13:H13"/>
    <mergeCell ref="I13:J13"/>
    <mergeCell ref="M13:N13"/>
    <mergeCell ref="B3:B4"/>
    <mergeCell ref="K2:M3"/>
    <mergeCell ref="K4:K6"/>
    <mergeCell ref="M4:N4"/>
    <mergeCell ref="M5:N5"/>
    <mergeCell ref="M6:N6"/>
    <mergeCell ref="M7:N7"/>
    <mergeCell ref="M8:N8"/>
    <mergeCell ref="M9:N9"/>
  </mergeCells>
  <conditionalFormatting sqref="C4:H4">
    <cfRule type="expression" dxfId="3" priority="3" stopIfTrue="1">
      <formula>DAY(C4)&gt;8</formula>
    </cfRule>
  </conditionalFormatting>
  <conditionalFormatting sqref="C8:I10">
    <cfRule type="expression" dxfId="2" priority="2" stopIfTrue="1">
      <formula>AND(DAY(C8)&gt;=1,DAY(C8)&lt;=15)</formula>
    </cfRule>
  </conditionalFormatting>
  <conditionalFormatting sqref="C4:I9">
    <cfRule type="expression" dxfId="1" priority="4">
      <formula>VLOOKUP(DAY(C4),HausaufgabenTage,1,FALSE)=DAY(C4)</formula>
    </cfRule>
  </conditionalFormatting>
  <conditionalFormatting sqref="B14:J33">
    <cfRule type="expression" dxfId="0" priority="1">
      <formula>B14&lt;&gt;""</formula>
    </cfRule>
  </conditionalFormatting>
  <printOptions horizontalCentered="1" verticalCentered="1"/>
  <pageMargins left="0.5" right="0.5" top="0.5" bottom="0.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37</vt:i4>
      </vt:variant>
    </vt:vector>
  </HeadingPairs>
  <TitlesOfParts>
    <vt:vector size="49" baseType="lpstr">
      <vt:lpstr>Jan</vt:lpstr>
      <vt:lpstr>Feb</vt:lpstr>
      <vt:lpstr>Mrz</vt:lpstr>
      <vt:lpstr>Apr</vt:lpstr>
      <vt:lpstr>Mai</vt:lpstr>
      <vt:lpstr>Jun</vt:lpstr>
      <vt:lpstr>Jul</vt:lpstr>
      <vt:lpstr>Aug</vt:lpstr>
      <vt:lpstr>Sep</vt:lpstr>
      <vt:lpstr>Okt</vt:lpstr>
      <vt:lpstr>Nov</vt:lpstr>
      <vt:lpstr>Dez</vt:lpstr>
      <vt:lpstr>Apr!HausaufgabenTage</vt:lpstr>
      <vt:lpstr>Aug!HausaufgabenTage</vt:lpstr>
      <vt:lpstr>Dez!HausaufgabenTage</vt:lpstr>
      <vt:lpstr>Feb!HausaufgabenTage</vt:lpstr>
      <vt:lpstr>Jul!HausaufgabenTage</vt:lpstr>
      <vt:lpstr>Jun!HausaufgabenTage</vt:lpstr>
      <vt:lpstr>Mai!HausaufgabenTage</vt:lpstr>
      <vt:lpstr>Mrz!HausaufgabenTage</vt:lpstr>
      <vt:lpstr>Nov!HausaufgabenTage</vt:lpstr>
      <vt:lpstr>Okt!HausaufgabenTage</vt:lpstr>
      <vt:lpstr>Sep!HausaufgabenTage</vt:lpstr>
      <vt:lpstr>HausaufgabenTage</vt:lpstr>
      <vt:lpstr>KalenderJahr</vt:lpstr>
      <vt:lpstr>Apr!Print_Area</vt:lpstr>
      <vt:lpstr>Aug!Print_Area</vt:lpstr>
      <vt:lpstr>Dez!Print_Area</vt:lpstr>
      <vt:lpstr>Feb!Print_Area</vt:lpstr>
      <vt:lpstr>Jan!Print_Area</vt:lpstr>
      <vt:lpstr>Jul!Print_Area</vt:lpstr>
      <vt:lpstr>Jun!Print_Area</vt:lpstr>
      <vt:lpstr>Mai!Print_Area</vt:lpstr>
      <vt:lpstr>Mrz!Print_Area</vt:lpstr>
      <vt:lpstr>Nov!Print_Area</vt:lpstr>
      <vt:lpstr>Okt!Print_Area</vt:lpstr>
      <vt:lpstr>Sep!Print_Area</vt:lpstr>
      <vt:lpstr>Apr!WichtigeDatenTabelle</vt:lpstr>
      <vt:lpstr>Aug!WichtigeDatenTabelle</vt:lpstr>
      <vt:lpstr>Dez!WichtigeDatenTabelle</vt:lpstr>
      <vt:lpstr>Feb!WichtigeDatenTabelle</vt:lpstr>
      <vt:lpstr>Jul!WichtigeDatenTabelle</vt:lpstr>
      <vt:lpstr>Jun!WichtigeDatenTabelle</vt:lpstr>
      <vt:lpstr>Mai!WichtigeDatenTabelle</vt:lpstr>
      <vt:lpstr>Mrz!WichtigeDatenTabelle</vt:lpstr>
      <vt:lpstr>Nov!WichtigeDatenTabelle</vt:lpstr>
      <vt:lpstr>Okt!WichtigeDatenTabelle</vt:lpstr>
      <vt:lpstr>Sep!WichtigeDatenTabelle</vt:lpstr>
      <vt:lpstr>WichtigeDatenTabelle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2016-11-27T10:24:08Z</dcterms:created>
  <dcterms:modified xsi:type="dcterms:W3CDTF">2016-11-27T10:24:56Z</dcterms:modified>
</cp:coreProperties>
</file>